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dd315e7d0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vities" sheetId="1" r:id="R600dcbf1856c407c"/>
    <x:sheet xmlns:r="http://schemas.openxmlformats.org/officeDocument/2006/relationships" name="Assumptions" sheetId="2" r:id="R4d3e266205474283"/>
    <x:sheet xmlns:r="http://schemas.openxmlformats.org/officeDocument/2006/relationships" name="Gantt" sheetId="3" r:id="R24dbec4ff7d64f84"/>
    <x:sheet xmlns:r="http://schemas.openxmlformats.org/officeDocument/2006/relationships" name="Calendar" sheetId="4" r:id="R0adda7b41c664358"/>
    <x:sheet xmlns:r="http://schemas.openxmlformats.org/officeDocument/2006/relationships" name="UpdateLog" sheetId="5" r:id="R3a05ce648a8e46ca"/>
    <x:sheet xmlns:r="http://schemas.openxmlformats.org/officeDocument/2006/relationships" name="BlankActivities" sheetId="6" r:id="R74a9fffc530247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@"/>
    <x:numFmt numFmtId="202" formatCode="0"/>
    <x:numFmt numFmtId="203" formatCode="mm-dd"/>
  </x:numFmts>
  <x:fonts count="17">
    <x:font>
      <x:sz val="11"/>
      <x:name val="Carlito"/>
    </x:font>
    <x:font>
      <x:sz val="11"/>
      <x:name val="Arial"/>
    </x:font>
    <x:font>
      <x:b/>
      <x:sz val="16"/>
      <x:color rgb="FF174B35"/>
      <x:name val="Arial"/>
    </x:font>
    <x:font>
      <x:b/>
      <x:sz val="11"/>
      <x:color rgb="FFFFFFFF"/>
      <x:name val="Arial"/>
    </x:font>
    <x:font>
      <x:sz val="10"/>
      <x:color rgb="FF555555"/>
      <x:name val="Arial"/>
    </x:font>
    <x:font>
      <x:sz val="11"/>
      <x:name val="Times New Roman"/>
    </x:font>
    <x:font>
      <x:b/>
      <x:sz val="16"/>
      <x:color rgb="FF174B35"/>
      <x:name val="Times New Roman"/>
    </x:font>
    <x:font>
      <x:sz val="10"/>
      <x:color rgb="FF555555"/>
      <x:name val="Times New Roman"/>
    </x:font>
    <x:font>
      <x:b/>
      <x:sz val="11"/>
      <x:color rgb="FFFFFFFF"/>
      <x:name val="Times New Roman"/>
    </x:font>
    <x:font>
      <x:b/>
      <x:sz val="16"/>
      <x:color rgb="FF174B35"/>
      <x:name val="B Nazanin"/>
    </x:font>
    <x:font>
      <x:b/>
      <x:sz val="18"/>
      <x:color rgb="FF174B35"/>
      <x:name val="B Nazanin"/>
    </x:font>
    <x:font>
      <x:sz val="10"/>
      <x:color rgb="FF555555"/>
      <x:name val="B Nazanin"/>
    </x:font>
    <x:font>
      <x:sz val="12"/>
      <x:color rgb="FF555555"/>
      <x:name val="B Nazanin"/>
    </x:font>
    <x:font>
      <x:b/>
      <x:sz val="11"/>
      <x:color rgb="FFFFFFFF"/>
      <x:name val="B Nazanin"/>
    </x:font>
    <x:font>
      <x:b/>
      <x:sz val="13"/>
      <x:color rgb="FFFFFFFF"/>
      <x:name val="B Nazanin"/>
    </x:font>
    <x:font>
      <x:sz val="11"/>
      <x:name val="B Nazanin"/>
    </x:font>
    <x:font>
      <x:sz val="13"/>
      <x:name val="B Nazanin"/>
    </x:font>
  </x:fonts>
  <x:fills count="5">
    <x:fill>
      <x:patternFill patternType="none"/>
    </x:fill>
    <x:fill>
      <x:patternFill patternType="gray125"/>
    </x:fill>
    <x:fill>
      <x:patternFill patternType="solid">
        <x:fgColor rgb="FF174B35"/>
      </x:patternFill>
    </x:fill>
    <x:fill>
      <x:patternFill patternType="solid">
        <x:fgColor rgb="FFEDF5FD"/>
      </x:patternFill>
    </x:fill>
    <x:fill>
      <x:patternFill patternType="solid">
        <x:fgColor rgb="FFE8F0E8"/>
      </x:patternFill>
    </x:fill>
  </x:fills>
  <x:borders count="2">
    <x:border/>
    <x:border>
      <x:left style="thin">
        <x:color rgb="FFDCE5DE"/>
      </x:left>
      <x:right style="thin">
        <x:color rgb="FFDCE5DE"/>
      </x:right>
      <x:top style="thin">
        <x:color rgb="FFDCE5DE"/>
      </x:top>
      <x:bottom style="thin">
        <x:color rgb="FFDCE5DE"/>
      </x:bottom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right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0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horizontal="right" vertical="center" wrapText="0"/>
    </x:xf>
    <x:xf numFmtId="0" fontId="1" fillId="4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2" fontId="1" fillId="4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3" fontId="1" fillId="2" borderId="0" xfId="0" applyNumberFormat="1" applyFont="1" applyFill="1" applyBorder="1" applyAlignment="1">
      <x:alignment horizontal="right" vertical="center" wrapText="1"/>
    </x:xf>
    <x:xf numFmtId="203" fontId="3" fillId="2" borderId="0" xfId="0" applyNumberFormat="1" applyFont="1" applyFill="1" applyBorder="1" applyAlignment="1">
      <x:alignment horizontal="right" vertical="center" wrapText="1"/>
    </x:xf>
    <x:xf numFmtId="203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0" borderId="1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 applyAlignment="1">
      <x:alignment horizontal="right" vertical="center" wrapText="0"/>
    </x:xf>
    <x:xf numFmtId="0" fontId="7" fillId="0" borderId="0" xfId="0" applyNumberFormat="1" applyFont="1" applyFill="1" applyBorder="1" applyAlignment="1">
      <x:alignment horizontal="right" vertical="center" wrapText="0"/>
    </x:xf>
    <x:xf numFmtId="0" fontId="8" fillId="2" borderId="0" xfId="0" applyNumberFormat="1" applyFont="1" applyFill="1" applyBorder="1" applyAlignment="1">
      <x:alignment horizontal="right" vertical="center" wrapText="1"/>
    </x:xf>
    <x:xf numFmtId="201" fontId="5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horizontal="right" vertical="center" wrapText="1"/>
    </x:xf>
    <x:xf numFmtId="202" fontId="5" fillId="3" borderId="0" xfId="0" applyNumberFormat="1" applyFont="1" applyFill="1" applyBorder="1" applyAlignment="1">
      <x:alignment horizontal="right" vertical="center" wrapText="1"/>
    </x:xf>
    <x:xf numFmtId="200" fontId="5" fillId="4" borderId="0" xfId="0" applyNumberFormat="1" applyFont="1" applyFill="1" applyBorder="1" applyAlignment="1">
      <x:alignment horizontal="right" vertical="center" wrapText="1"/>
    </x:xf>
    <x:xf numFmtId="200" fontId="5" fillId="3" borderId="0" xfId="0" applyNumberFormat="1" applyFont="1" applyFill="1" applyBorder="1" applyAlignment="1">
      <x:alignment horizontal="right" vertical="center" wrapText="1"/>
    </x:xf>
    <x:xf numFmtId="202" fontId="5" fillId="4" borderId="0" xfId="0" applyNumberFormat="1" applyFont="1" applyFill="1" applyBorder="1" applyAlignment="1">
      <x:alignment horizontal="right" vertical="center" wrapText="1"/>
    </x:xf>
    <x:xf numFmtId="0" fontId="5" fillId="4" borderId="0" xfId="0" applyNumberFormat="1" applyFont="1" applyFill="1" applyBorder="1" applyAlignment="1">
      <x:alignment horizontal="right" vertical="center" wrapText="1"/>
    </x:xf>
    <x:xf numFmtId="0" fontId="9" fillId="0" borderId="0" xfId="0" applyNumberFormat="1" applyFont="1" applyFill="1" applyBorder="1" applyAlignment="1">
      <x:alignment horizontal="right" vertical="center" wrapText="0"/>
    </x:xf>
    <x:xf numFmtId="0" fontId="10" fillId="0" borderId="0" xfId="0" applyNumberFormat="1" applyFont="1" applyFill="1" applyBorder="1" applyAlignment="1">
      <x:alignment horizontal="right" vertical="center" wrapText="0"/>
    </x:xf>
    <x:xf numFmtId="0" fontId="11" fillId="0" borderId="0" xfId="0" applyNumberFormat="1" applyFont="1" applyFill="1" applyBorder="1" applyAlignment="1">
      <x:alignment horizontal="right" vertical="center" wrapText="0"/>
    </x:xf>
    <x:xf numFmtId="0" fontId="12" fillId="0" borderId="0" xfId="0" applyNumberFormat="1" applyFont="1" applyFill="1" applyBorder="1" applyAlignment="1">
      <x:alignment horizontal="right" vertical="center" wrapText="0"/>
    </x:xf>
    <x:xf numFmtId="0" fontId="13" fillId="2" borderId="0" xfId="0" applyNumberFormat="1" applyFont="1" applyFill="1" applyBorder="1" applyAlignment="1">
      <x:alignment horizontal="right" vertical="center" wrapText="1"/>
    </x:xf>
    <x:xf numFmtId="0" fontId="14" fillId="2" borderId="0" xfId="0" applyNumberFormat="1" applyFont="1" applyFill="1" applyBorder="1" applyAlignment="1">
      <x:alignment horizontal="right" vertical="center" wrapText="1"/>
    </x:xf>
    <x:xf numFmtId="0" fontId="15" fillId="3" borderId="0" xfId="0" applyNumberFormat="1" applyFont="1" applyFill="1" applyBorder="1" applyAlignment="1">
      <x:alignment horizontal="right" vertical="center" wrapText="1"/>
    </x:xf>
    <x:xf numFmtId="0" fontId="16" fillId="3" borderId="0" xfId="0" applyNumberFormat="1" applyFont="1" applyFill="1" applyBorder="1" applyAlignment="1">
      <x:alignment horizontal="right" vertical="center" wrapText="1"/>
    </x:xf>
    <x:xf numFmtId="0" fontId="15" fillId="4" borderId="0" xfId="0" applyNumberFormat="1" applyFont="1" applyFill="1" applyBorder="1" applyAlignment="1">
      <x:alignment horizontal="right" vertical="center" wrapText="1"/>
    </x:xf>
    <x:xf numFmtId="0" fontId="16" fillId="4" borderId="0" xfId="0" applyNumberFormat="1" applyFont="1" applyFill="1" applyBorder="1" applyAlignment="1">
      <x:alignment horizontal="right" vertical="center" wrapText="1"/>
    </x:xf>
    <x:xf numFmtId="0" fontId="15" fillId="0" borderId="0" xfId="0" applyNumberFormat="1" applyFont="1" applyFill="1" applyBorder="1" applyAlignment="1">
      <x:alignment horizontal="right" vertical="center" wrapText="1"/>
    </x:xf>
    <x:xf numFmtId="0" fontId="16" fillId="0" borderId="0" xfId="0" applyNumberFormat="1" applyFont="1" applyFill="1" applyBorder="1" applyAlignment="1">
      <x:alignment horizontal="right" vertical="center" wrapText="1"/>
    </x:xf>
    <x:xf numFmtId="203" fontId="8" fillId="2" borderId="0" xfId="0" applyNumberFormat="1" applyFont="1" applyFill="1" applyBorder="1" applyAlignment="1">
      <x:alignment horizontal="center" vertical="center" wrapText="1"/>
    </x:xf>
    <x:xf numFmtId="200" fontId="5" fillId="0" borderId="0" xfId="0" applyNumberFormat="1" applyFont="1" applyFill="1" applyBorder="1" applyAlignment="1">
      <x:alignment horizontal="right" vertical="center" wrapText="1"/>
    </x:xf>
    <x:xf numFmtId="0" fontId="5" fillId="0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1">
    <x:dxf>
      <x:fill>
        <x:patternFill>
          <x:bgColor rgb="FF70987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50b5736194e3e" /><Relationship Type="http://schemas.openxmlformats.org/officeDocument/2006/relationships/theme" Target="/xl/theme/theme1.xml" Id="R30072651d5aa4e7d" /><Relationship Type="http://schemas.openxmlformats.org/officeDocument/2006/relationships/sharedStrings" Target="/xl/sharedStrings.xml" Id="R280141a9a7674591" /><Relationship Type="http://schemas.openxmlformats.org/officeDocument/2006/relationships/worksheet" Target="/xl/worksheets/sheet1.xml" Id="R600dcbf1856c407c" /><Relationship Type="http://schemas.openxmlformats.org/officeDocument/2006/relationships/worksheet" Target="/xl/worksheets/sheet2.xml" Id="R4d3e266205474283" /><Relationship Type="http://schemas.openxmlformats.org/officeDocument/2006/relationships/worksheet" Target="/xl/worksheets/sheet3.xml" Id="R24dbec4ff7d64f84" /><Relationship Type="http://schemas.openxmlformats.org/officeDocument/2006/relationships/worksheet" Target="/xl/worksheets/sheet4.xml" Id="R0adda7b41c664358" /><Relationship Type="http://schemas.openxmlformats.org/officeDocument/2006/relationships/worksheet" Target="/xl/worksheets/sheet5.xml" Id="R3a05ce648a8e46ca" /><Relationship Type="http://schemas.openxmlformats.org/officeDocument/2006/relationships/worksheet" Target="/xl/worksheets/sheet6.xml" Id="R74a9fffc530247ff" /></Relationships>
</file>

<file path=xl/tables/table1.xml><?xml version="1.0" encoding="utf-8"?>
<x:table xmlns:x="http://schemas.openxmlformats.org/spreadsheetml/2006/main" id="1" name="ScheduleActivities" displayName="ScheduleActivities" ref="A8:T38" headerRowCount="1" totalsRowCount="0" totalsRowShown="0">
  <x:tableColumns count="20">
    <x:tableColumn id="1" name="ردیف"/>
    <x:tableColumn id="2" name="شناسه فعالیت"/>
    <x:tableColumn id="3" name="کد WBS"/>
    <x:tableColumn id="4" name="فعالیت"/>
    <x:tableColumn id="5" name="مسئول پیگیری"/>
    <x:tableColumn id="6" name="مدت اصلی"/>
    <x:tableColumn id="7" name="پیش‌نیاز ۱"/>
    <x:tableColumn id="8" name="پیش‌نیاز ۲"/>
    <x:tableColumn id="9" name="پیش‌نیاز ۳"/>
    <x:tableColumn id="10" name="شروع اولیه"/>
    <x:tableColumn id="11" name="پایان اولیه"/>
    <x:tableColumn id="12" name="شروع مبنا"/>
    <x:tableColumn id="13" name="پایان مبنا"/>
    <x:tableColumn id="14" name="شروع واقعی"/>
    <x:tableColumn id="15" name="پایان واقعی"/>
    <x:tableColumn id="16" name="باقیمانده"/>
    <x:tableColumn id="17" name="شروع جاری"/>
    <x:tableColumn id="18" name="پایان جاری"/>
    <x:tableColumn id="19" name="انحراف؛ روز تقویمی"/>
    <x:tableColumn id="20" name="وضعیت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47ef9e17c3f4fd2" /></Relationships>
</file>

<file path=xl/worksheets/sheet1.xml><?xml version="1.0" encoding="utf-8"?>
<x:worksheet xmlns:x="http://schemas.openxmlformats.org/spreadsheetml/2006/main">
  <x:sheetPr>
    <x:tabColor rgb="FF174B35"/>
  </x:sheetPr>
  <x:sheetViews>
    <x:sheetView showGridLines="0" workbookViewId="0">
      <x:pane xSplit="4" ySplit="8" topLeftCell="E9" activePane="bottomRight" state="frozen"/>
    </x:sheetView>
  </x:sheetViews>
  <x:sheetFormatPr defaultRowHeight="15"/>
  <x:cols>
    <x:col min="1" max="1" width="6.880000114440918" hidden="0" customWidth="1"/>
    <x:col min="2" max="2" width="23.1299991607666" hidden="0" customWidth="1"/>
    <x:col min="3" max="3" width="10.630000114440918" hidden="0" customWidth="1"/>
    <x:col min="4" max="4" width="33.75" hidden="0" customWidth="1"/>
    <x:col min="5" max="5" width="18.75" hidden="0" customWidth="1"/>
    <x:col min="6" max="6" width="10" hidden="0" customWidth="1"/>
    <x:col min="7" max="7" width="23.1299991607666" hidden="0" customWidth="1"/>
    <x:col min="8" max="8" width="23.1299991607666" hidden="0" customWidth="1"/>
    <x:col min="9" max="9" width="23.1299991607666" hidden="0" customWidth="1"/>
    <x:col min="10" max="10" width="14.380000114440918" hidden="0" customWidth="1"/>
    <x:col min="11" max="11" width="14.380000114440918" hidden="0" customWidth="1"/>
    <x:col min="12" max="12" width="14.380000114440918" hidden="0" customWidth="1"/>
    <x:col min="13" max="13" width="14.380000114440918" hidden="0" customWidth="1"/>
    <x:col min="14" max="14" width="14.380000114440918" hidden="0" customWidth="1"/>
    <x:col min="15" max="15" width="14.380000114440918" hidden="0" customWidth="1"/>
    <x:col min="16" max="16" width="11.880000114440918" hidden="0" customWidth="1"/>
    <x:col min="17" max="17" width="14.380000114440918" hidden="0" customWidth="1"/>
    <x:col min="18" max="18" width="14.380000114440918" hidden="0" customWidth="1"/>
    <x:col min="19" max="19" width="13.75" hidden="0" customWidth="1"/>
    <x:col min="20" max="20" width="15.630000114440918" hidden="0" customWidth="1"/>
  </x:cols>
  <x:sheetData>
    <x:row r="1" ht="34" customHeight="1">
      <x:c r="A1" s="24"/>
      <x:c r="B1" s="24"/>
      <x:c r="C1" s="24"/>
      <x:c r="D1" s="24"/>
      <x:c r="E1" s="24"/>
      <x:c r="F1" s="24"/>
      <x:c r="G1" s="24"/>
      <x:c r="H1" s="24"/>
      <x:c r="I1" s="24"/>
      <x:c r="J1" s="24"/>
      <x:c r="K1" s="24"/>
      <x:c r="L1" s="24"/>
      <x:c r="M1" s="24"/>
      <x:c r="N1" s="24"/>
      <x:c r="O1" s="24"/>
      <x:c r="P1" s="24"/>
      <x:c r="Q1" s="24"/>
      <x:c r="R1" s="24"/>
      <x:c r="S1" s="24"/>
      <x:c r="T1" s="24"/>
    </x:row>
    <x:row r="2" ht="38" customHeight="1">
      <x:c r="A2" s="36" t="str">
        <x:v>برنامه منتخب ساختمان چهارطبقه | مدیرساخت</x:v>
      </x:c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  <x:c r="M2" s="24"/>
      <x:c r="N2" s="24"/>
      <x:c r="O2" s="24"/>
      <x:c r="P2" s="24"/>
      <x:c r="Q2" s="24"/>
      <x:c r="R2" s="24"/>
      <x:c r="S2" s="24"/>
      <x:c r="T2" s="24"/>
    </x:row>
    <x:row r="3" ht="28" customHeight="1">
      <x:c r="A3" s="38" t="str">
        <x:v>۳۰ فعالیت منتخب و چند فعالیت تجمیعی از ساختمان چهارطبقه بدون زیرزمین؛ شبکه کامل همه بسته‌های WBS نیست.</x:v>
      </x:c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  <x:c r="T3" s="24"/>
    </x:row>
    <x:row r="4" ht="28" customHeight="1">
      <x:c r="A4" s="38" t="str">
        <x:v>ورودی‌ها آبی؛ برنامه مبنا ثابت؛ فرمول‌ها سبز کم‌رنگ. مسیر بحرانی و سطح‌بندی منابع محاسبه نشده است.</x:v>
      </x:c>
      <x:c r="B4" s="24"/>
      <x:c r="C4" s="24"/>
      <x:c r="D4" s="24"/>
      <x:c r="E4" s="24"/>
      <x:c r="F4" s="24"/>
      <x:c r="G4" s="24"/>
      <x:c r="H4" s="24"/>
      <x:c r="I4" s="24"/>
      <x:c r="J4" s="24"/>
      <x:c r="K4" s="24"/>
      <x:c r="L4" s="24"/>
      <x:c r="M4" s="24"/>
      <x:c r="N4" s="24"/>
      <x:c r="O4" s="24"/>
      <x:c r="P4" s="24"/>
      <x:c r="Q4" s="24"/>
      <x:c r="R4" s="24"/>
      <x:c r="S4" s="24"/>
      <x:c r="T4" s="24"/>
    </x:row>
    <x:row r="5" ht="28" customHeight="1">
      <x:c r="A5" s="38" t="str">
        <x:v>مدت اصلی = روز کاری برنامه اولیه؛ باقیمانده = برآورد روز کاری از روز بعد از تاریخ وضعیت.</x:v>
      </x:c>
      <x:c r="B5" s="24"/>
      <x:c r="C5" s="24"/>
      <x:c r="D5" s="24"/>
      <x:c r="E5" s="24"/>
      <x:c r="F5" s="24"/>
      <x:c r="G5" s="24"/>
      <x:c r="H5" s="24"/>
      <x:c r="I5" s="24"/>
      <x:c r="J5" s="24"/>
      <x:c r="K5" s="24"/>
      <x:c r="L5" s="24"/>
      <x:c r="M5" s="24"/>
      <x:c r="N5" s="24"/>
      <x:c r="O5" s="24"/>
      <x:c r="P5" s="24"/>
      <x:c r="Q5" s="24"/>
      <x:c r="R5" s="24"/>
      <x:c r="S5" s="24"/>
      <x:c r="T5" s="24"/>
    </x:row>
    <x:row r="6" ht="34" customHeight="1">
      <x:c r="A6" s="24"/>
      <x:c r="B6" s="24"/>
      <x:c r="C6" s="24"/>
      <x:c r="D6" s="24"/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24"/>
      <x:c r="S6" s="24"/>
      <x:c r="T6" s="24"/>
    </x:row>
    <x:row r="7" ht="34" customHeight="1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  <x:c r="M7" s="24"/>
      <x:c r="N7" s="24"/>
      <x:c r="O7" s="24"/>
      <x:c r="P7" s="24"/>
      <x:c r="Q7" s="24"/>
      <x:c r="R7" s="24"/>
      <x:c r="S7" s="24"/>
      <x:c r="T7" s="24"/>
    </x:row>
    <x:row r="8" ht="40" customHeight="1">
      <x:c r="A8" s="40" t="str">
        <x:v>ردیف</x:v>
      </x:c>
      <x:c r="B8" s="40" t="str">
        <x:v>شناسه فعالیت</x:v>
      </x:c>
      <x:c r="C8" s="40" t="str">
        <x:v>کد WBS</x:v>
      </x:c>
      <x:c r="D8" s="40" t="str">
        <x:v>فعالیت</x:v>
      </x:c>
      <x:c r="E8" s="40" t="str">
        <x:v>مسئول پیگیری</x:v>
      </x:c>
      <x:c r="F8" s="40" t="str">
        <x:v>مدت اصلی</x:v>
      </x:c>
      <x:c r="G8" s="40" t="str">
        <x:v>پیش‌نیاز ۱</x:v>
      </x:c>
      <x:c r="H8" s="40" t="str">
        <x:v>پیش‌نیاز ۲</x:v>
      </x:c>
      <x:c r="I8" s="40" t="str">
        <x:v>پیش‌نیاز ۳</x:v>
      </x:c>
      <x:c r="J8" s="40" t="str">
        <x:v>شروع اولیه</x:v>
      </x:c>
      <x:c r="K8" s="40" t="str">
        <x:v>پایان اولیه</x:v>
      </x:c>
      <x:c r="L8" s="40" t="str">
        <x:v>شروع مبنا</x:v>
      </x:c>
      <x:c r="M8" s="40" t="str">
        <x:v>پایان مبنا</x:v>
      </x:c>
      <x:c r="N8" s="40" t="str">
        <x:v>شروع واقعی</x:v>
      </x:c>
      <x:c r="O8" s="40" t="str">
        <x:v>پایان واقعی</x:v>
      </x:c>
      <x:c r="P8" s="40" t="str">
        <x:v>باقیمانده</x:v>
      </x:c>
      <x:c r="Q8" s="40" t="str">
        <x:v>شروع جاری</x:v>
      </x:c>
      <x:c r="R8" s="40" t="str">
        <x:v>پایان جاری</x:v>
      </x:c>
      <x:c r="S8" s="40" t="str">
        <x:v>انحراف؛ روز تقویمی</x:v>
      </x:c>
      <x:c r="T8" s="40" t="str">
        <x:v>وضعیت</x:v>
      </x:c>
    </x:row>
    <x:row r="9" ht="55" customHeight="1">
      <x:c r="A9" s="24" t="n">
        <x:v>1</x:v>
      </x:c>
      <x:c r="B9" s="28" t="str">
        <x:v>ACT-1.1.1-01</x:v>
      </x:c>
      <x:c r="C9" s="28" t="str">
        <x:v>1.1.1</x:v>
      </x:c>
      <x:c r="D9" s="42" t="str">
        <x:v>حصار موقت و مسیر دسترسی</x:v>
      </x:c>
      <x:c r="E9" s="42" t="str">
        <x:v>گروه تجهیز</x:v>
      </x:c>
      <x:c r="F9" s="30" t="n">
        <x:v>2</x:v>
      </x:c>
      <x:c r="G9" s="28"/>
      <x:c r="H9" s="28"/>
      <x:c r="I9" s="28"/>
      <x:c r="J9" s="31" t="n">
        <x:f>WORKDAY.INTL(Assumptions!$B$7-1,1,Assumptions!$B$9,Assumptions!$B$11:$B$11)</x:f>
        <x:v>46298</x:v>
      </x:c>
      <x:c r="K9" s="31" t="n">
        <x:f>WORKDAY.INTL(J9,F9-1,Assumptions!$B$9,Assumptions!$B$11:$B$11)</x:f>
        <x:v>46299</x:v>
      </x:c>
      <x:c r="L9" s="31" t="n">
        <x:v>46298</x:v>
      </x:c>
      <x:c r="M9" s="31" t="n">
        <x:v>46299</x:v>
      </x:c>
      <x:c r="N9" s="32" t="n">
        <x:v>46298</x:v>
      </x:c>
      <x:c r="O9" s="32" t="n">
        <x:v>46299</x:v>
      </x:c>
      <x:c r="P9" s="30" t="n">
        <x:v>0</x:v>
      </x:c>
      <x:c r="Q9" s="31" t="n">
        <x:f>IF(N9&lt;&gt;"",N9,WORKDAY.INTL(MAX(Assumptions!$B$8,0),1,Assumptions!$B$9,Assumptions!$B$11:$B$11))</x:f>
        <x:v>46298</x:v>
      </x:c>
      <x:c r="R9" s="31" t="n">
        <x:f>IF(O9&lt;&gt;"",O9,IF(N9&lt;&gt;"",WORKDAY.INTL(Assumptions!$B$8,P9,Assumptions!$B$9,Assumptions!$B$11:$B$11),WORKDAY.INTL(Q9,P9-1,Assumptions!$B$9,Assumptions!$B$11:$B$11)))</x:f>
        <x:v>46299</x:v>
      </x:c>
      <x:c r="S9" s="33" t="n">
        <x:f>R9-M9</x:f>
        <x:v>0</x:v>
      </x:c>
      <x:c r="T9" s="44" t="str">
        <x:f>IF(O9&lt;&gt;"","تمام‌شده",IF(N9&lt;&gt;"","در حال اجرا","شروع‌نشده"))</x:f>
        <x:v>تمام‌شده</x:v>
      </x:c>
    </x:row>
    <x:row r="10" ht="55" customHeight="1">
      <x:c r="A10" s="24" t="n">
        <x:v>2</x:v>
      </x:c>
      <x:c r="B10" s="28" t="str">
        <x:v>ACT-1.1.2-01</x:v>
      </x:c>
      <x:c r="C10" s="28" t="str">
        <x:v>1.1.2</x:v>
      </x:c>
      <x:c r="D10" s="42" t="str">
        <x:v>دفتر و انشعاب‌های موقت</x:v>
      </x:c>
      <x:c r="E10" s="42" t="str">
        <x:v>گروه تجهیز</x:v>
      </x:c>
      <x:c r="F10" s="30" t="n">
        <x:v>2</x:v>
      </x:c>
      <x:c r="G10" s="28" t="str">
        <x:v>ACT-1.1.1-01</x:v>
      </x:c>
      <x:c r="H10" s="28"/>
      <x:c r="I10" s="28"/>
      <x:c r="J10" s="31" t="n">
        <x:f>WORKDAY.INTL(MAX(Assumptions!$B$7-1,IF(G10="",0,VLOOKUP(G10,$B$9:$K$9,10,FALSE)),IF(H10="",0,VLOOKUP(H10,$B$9:$K$9,10,FALSE)),IF(I10="",0,VLOOKUP(I10,$B$9:$K$9,10,FALSE))),1,Assumptions!$B$9,Assumptions!$B$11:$B$11)</x:f>
        <x:v>46300</x:v>
      </x:c>
      <x:c r="K10" s="31" t="n">
        <x:f>WORKDAY.INTL(J10,F10-1,Assumptions!$B$9,Assumptions!$B$11:$B$11)</x:f>
        <x:v>46301</x:v>
      </x:c>
      <x:c r="L10" s="31" t="n">
        <x:v>46300</x:v>
      </x:c>
      <x:c r="M10" s="31" t="n">
        <x:v>46301</x:v>
      </x:c>
      <x:c r="N10" s="32" t="n">
        <x:v>46300</x:v>
      </x:c>
      <x:c r="O10" s="32" t="n">
        <x:v>46301</x:v>
      </x:c>
      <x:c r="P10" s="30" t="n">
        <x:v>0</x:v>
      </x:c>
      <x:c r="Q10" s="31" t="n">
        <x:f>IF(N10&lt;&gt;"",N10,WORKDAY.INTL(MAX(Assumptions!$B$8,IF(G10="",0,VLOOKUP(G10,$B$9:$R$9,17,FALSE)),IF(H10="",0,VLOOKUP(H10,$B$9:$R$9,17,FALSE)),IF(I10="",0,VLOOKUP(I10,$B$9:$R$9,17,FALSE))),1,Assumptions!$B$9,Assumptions!$B$11:$B$11))</x:f>
        <x:v>46300</x:v>
      </x:c>
      <x:c r="R10" s="31" t="n">
        <x:f>IF(O10&lt;&gt;"",O10,IF(N10&lt;&gt;"",WORKDAY.INTL(Assumptions!$B$8,P10,Assumptions!$B$9,Assumptions!$B$11:$B$11),WORKDAY.INTL(Q10,P10-1,Assumptions!$B$9,Assumptions!$B$11:$B$11)))</x:f>
        <x:v>46301</x:v>
      </x:c>
      <x:c r="S10" s="33" t="n">
        <x:f>R10-M10</x:f>
        <x:v>0</x:v>
      </x:c>
      <x:c r="T10" s="44" t="str">
        <x:f>IF(O10&lt;&gt;"","تمام‌شده",IF(N10&lt;&gt;"","در حال اجرا","شروع‌نشده"))</x:f>
        <x:v>تمام‌شده</x:v>
      </x:c>
    </x:row>
    <x:row r="11" ht="55" customHeight="1">
      <x:c r="A11" s="24" t="n">
        <x:v>3</x:v>
      </x:c>
      <x:c r="B11" s="28" t="str">
        <x:v>ACT-1.1.3-01</x:v>
      </x:c>
      <x:c r="C11" s="28" t="str">
        <x:v>1.1.3</x:v>
      </x:c>
      <x:c r="D11" s="42" t="str">
        <x:v>انبار و محل دپوی مصالح</x:v>
      </x:c>
      <x:c r="E11" s="42" t="str">
        <x:v>گروه تجهیز</x:v>
      </x:c>
      <x:c r="F11" s="30" t="n">
        <x:v>1</x:v>
      </x:c>
      <x:c r="G11" s="28" t="str">
        <x:v>ACT-1.1.1-01</x:v>
      </x:c>
      <x:c r="H11" s="28"/>
      <x:c r="I11" s="28"/>
      <x:c r="J11" s="31" t="n">
        <x:f>WORKDAY.INTL(MAX(Assumptions!$B$7-1,IF(G11="",0,VLOOKUP(G11,$B$9:$K$10,10,FALSE)),IF(H11="",0,VLOOKUP(H11,$B$9:$K$10,10,FALSE)),IF(I11="",0,VLOOKUP(I11,$B$9:$K$10,10,FALSE))),1,Assumptions!$B$9,Assumptions!$B$11:$B$11)</x:f>
        <x:v>46300</x:v>
      </x:c>
      <x:c r="K11" s="31" t="n">
        <x:f>WORKDAY.INTL(J11,F11-1,Assumptions!$B$9,Assumptions!$B$11:$B$11)</x:f>
        <x:v>46300</x:v>
      </x:c>
      <x:c r="L11" s="31" t="n">
        <x:v>46300</x:v>
      </x:c>
      <x:c r="M11" s="31" t="n">
        <x:v>46300</x:v>
      </x:c>
      <x:c r="N11" s="32" t="n">
        <x:v>46300</x:v>
      </x:c>
      <x:c r="O11" s="32" t="n">
        <x:v>46300</x:v>
      </x:c>
      <x:c r="P11" s="30" t="n">
        <x:v>0</x:v>
      </x:c>
      <x:c r="Q11" s="31" t="n">
        <x:f>IF(N11&lt;&gt;"",N11,WORKDAY.INTL(MAX(Assumptions!$B$8,IF(G11="",0,VLOOKUP(G11,$B$9:$R$10,17,FALSE)),IF(H11="",0,VLOOKUP(H11,$B$9:$R$10,17,FALSE)),IF(I11="",0,VLOOKUP(I11,$B$9:$R$10,17,FALSE))),1,Assumptions!$B$9,Assumptions!$B$11:$B$11))</x:f>
        <x:v>46300</x:v>
      </x:c>
      <x:c r="R11" s="31" t="n">
        <x:f>IF(O11&lt;&gt;"",O11,IF(N11&lt;&gt;"",WORKDAY.INTL(Assumptions!$B$8,P11,Assumptions!$B$9,Assumptions!$B$11:$B$11),WORKDAY.INTL(Q11,P11-1,Assumptions!$B$9,Assumptions!$B$11:$B$11)))</x:f>
        <x:v>46300</x:v>
      </x:c>
      <x:c r="S11" s="33" t="n">
        <x:f>R11-M11</x:f>
        <x:v>0</x:v>
      </x:c>
      <x:c r="T11" s="44" t="str">
        <x:f>IF(O11&lt;&gt;"","تمام‌شده",IF(N11&lt;&gt;"","در حال اجرا","شروع‌نشده"))</x:f>
        <x:v>تمام‌شده</x:v>
      </x:c>
    </x:row>
    <x:row r="12" ht="55" customHeight="1">
      <x:c r="A12" s="24" t="n">
        <x:v>4</x:v>
      </x:c>
      <x:c r="B12" s="28" t="str">
        <x:v>ACT-1.2.1-01</x:v>
      </x:c>
      <x:c r="C12" s="28" t="str">
        <x:v>1.2.1</x:v>
      </x:c>
      <x:c r="D12" s="42" t="str">
        <x:v>آماده‌سازی زمین و بستر</x:v>
      </x:c>
      <x:c r="E12" s="42" t="str">
        <x:v>گروه زیرسازه</x:v>
      </x:c>
      <x:c r="F12" s="30" t="n">
        <x:v>5</x:v>
      </x:c>
      <x:c r="G12" s="28" t="str">
        <x:v>ACT-1.1.2-01</x:v>
      </x:c>
      <x:c r="H12" s="28" t="str">
        <x:v>ACT-1.1.3-01</x:v>
      </x:c>
      <x:c r="I12" s="28"/>
      <x:c r="J12" s="31" t="n">
        <x:f>WORKDAY.INTL(MAX(Assumptions!$B$7-1,IF(G12="",0,VLOOKUP(G12,$B$9:$K$11,10,FALSE)),IF(H12="",0,VLOOKUP(H12,$B$9:$K$11,10,FALSE)),IF(I12="",0,VLOOKUP(I12,$B$9:$K$11,10,FALSE))),1,Assumptions!$B$9,Assumptions!$B$11:$B$11)</x:f>
        <x:v>46302</x:v>
      </x:c>
      <x:c r="K12" s="31" t="n">
        <x:f>WORKDAY.INTL(J12,F12-1,Assumptions!$B$9,Assumptions!$B$11:$B$11)</x:f>
        <x:v>46308</x:v>
      </x:c>
      <x:c r="L12" s="31" t="n">
        <x:v>46302</x:v>
      </x:c>
      <x:c r="M12" s="31" t="n">
        <x:v>46308</x:v>
      </x:c>
      <x:c r="N12" s="32" t="n">
        <x:v>46302</x:v>
      </x:c>
      <x:c r="O12" s="32" t="n">
        <x:v>46308</x:v>
      </x:c>
      <x:c r="P12" s="30" t="n">
        <x:v>0</x:v>
      </x:c>
      <x:c r="Q12" s="31" t="n">
        <x:f>IF(N12&lt;&gt;"",N12,WORKDAY.INTL(MAX(Assumptions!$B$8,IF(G12="",0,VLOOKUP(G12,$B$9:$R$11,17,FALSE)),IF(H12="",0,VLOOKUP(H12,$B$9:$R$11,17,FALSE)),IF(I12="",0,VLOOKUP(I12,$B$9:$R$11,17,FALSE))),1,Assumptions!$B$9,Assumptions!$B$11:$B$11))</x:f>
        <x:v>46302</x:v>
      </x:c>
      <x:c r="R12" s="31" t="n">
        <x:f>IF(O12&lt;&gt;"",O12,IF(N12&lt;&gt;"",WORKDAY.INTL(Assumptions!$B$8,P12,Assumptions!$B$9,Assumptions!$B$11:$B$11),WORKDAY.INTL(Q12,P12-1,Assumptions!$B$9,Assumptions!$B$11:$B$11)))</x:f>
        <x:v>46308</x:v>
      </x:c>
      <x:c r="S12" s="33" t="n">
        <x:f>R12-M12</x:f>
        <x:v>0</x:v>
      </x:c>
      <x:c r="T12" s="44" t="str">
        <x:f>IF(O12&lt;&gt;"","تمام‌شده",IF(N12&lt;&gt;"","در حال اجرا","شروع‌نشده"))</x:f>
        <x:v>تمام‌شده</x:v>
      </x:c>
    </x:row>
    <x:row r="13" ht="55" customHeight="1">
      <x:c r="A13" s="24" t="n">
        <x:v>5</x:v>
      </x:c>
      <x:c r="B13" s="28" t="str">
        <x:v>ACT-1.2.2-01</x:v>
      </x:c>
      <x:c r="C13" s="28" t="str">
        <x:v>1.2.2</x:v>
      </x:c>
      <x:c r="D13" s="42" t="str">
        <x:v>اجرای بتن مگر</x:v>
      </x:c>
      <x:c r="E13" s="42" t="str">
        <x:v>گروه زیرسازه</x:v>
      </x:c>
      <x:c r="F13" s="30" t="n">
        <x:v>1</x:v>
      </x:c>
      <x:c r="G13" s="28" t="str">
        <x:v>ACT-1.2.1-01</x:v>
      </x:c>
      <x:c r="H13" s="28"/>
      <x:c r="I13" s="28"/>
      <x:c r="J13" s="31" t="n">
        <x:f>WORKDAY.INTL(MAX(Assumptions!$B$7-1,IF(G13="",0,VLOOKUP(G13,$B$9:$K$12,10,FALSE)),IF(H13="",0,VLOOKUP(H13,$B$9:$K$12,10,FALSE)),IF(I13="",0,VLOOKUP(I13,$B$9:$K$12,10,FALSE))),1,Assumptions!$B$9,Assumptions!$B$11:$B$11)</x:f>
        <x:v>46309</x:v>
      </x:c>
      <x:c r="K13" s="31" t="n">
        <x:f>WORKDAY.INTL(J13,F13-1,Assumptions!$B$9,Assumptions!$B$11:$B$11)</x:f>
        <x:v>46309</x:v>
      </x:c>
      <x:c r="L13" s="31" t="n">
        <x:v>46309</x:v>
      </x:c>
      <x:c r="M13" s="31" t="n">
        <x:v>46309</x:v>
      </x:c>
      <x:c r="N13" s="32" t="n">
        <x:v>46309</x:v>
      </x:c>
      <x:c r="O13" s="32" t="n">
        <x:v>46309</x:v>
      </x:c>
      <x:c r="P13" s="30" t="n">
        <x:v>0</x:v>
      </x:c>
      <x:c r="Q13" s="31" t="n">
        <x:f>IF(N13&lt;&gt;"",N13,WORKDAY.INTL(MAX(Assumptions!$B$8,IF(G13="",0,VLOOKUP(G13,$B$9:$R$12,17,FALSE)),IF(H13="",0,VLOOKUP(H13,$B$9:$R$12,17,FALSE)),IF(I13="",0,VLOOKUP(I13,$B$9:$R$12,17,FALSE))),1,Assumptions!$B$9,Assumptions!$B$11:$B$11))</x:f>
        <x:v>46309</x:v>
      </x:c>
      <x:c r="R13" s="31" t="n">
        <x:f>IF(O13&lt;&gt;"",O13,IF(N13&lt;&gt;"",WORKDAY.INTL(Assumptions!$B$8,P13,Assumptions!$B$9,Assumptions!$B$11:$B$11),WORKDAY.INTL(Q13,P13-1,Assumptions!$B$9,Assumptions!$B$11:$B$11)))</x:f>
        <x:v>46309</x:v>
      </x:c>
      <x:c r="S13" s="33" t="n">
        <x:f>R13-M13</x:f>
        <x:v>0</x:v>
      </x:c>
      <x:c r="T13" s="44" t="str">
        <x:f>IF(O13&lt;&gt;"","تمام‌شده",IF(N13&lt;&gt;"","در حال اجرا","شروع‌نشده"))</x:f>
        <x:v>تمام‌شده</x:v>
      </x:c>
    </x:row>
    <x:row r="14" ht="55" customHeight="1">
      <x:c r="A14" s="24" t="n">
        <x:v>6</x:v>
      </x:c>
      <x:c r="B14" s="28" t="str">
        <x:v>ACT-1.2.3-01</x:v>
      </x:c>
      <x:c r="C14" s="28" t="str">
        <x:v>1.2.3</x:v>
      </x:c>
      <x:c r="D14" s="42" t="str">
        <x:v>اجرای فونداسیون و کنترل پایان</x:v>
      </x:c>
      <x:c r="E14" s="42" t="str">
        <x:v>گروه زیرسازه</x:v>
      </x:c>
      <x:c r="F14" s="30" t="n">
        <x:v>8</x:v>
      </x:c>
      <x:c r="G14" s="28" t="str">
        <x:v>ACT-1.2.2-01</x:v>
      </x:c>
      <x:c r="H14" s="28"/>
      <x:c r="I14" s="28"/>
      <x:c r="J14" s="31" t="n">
        <x:f>WORKDAY.INTL(MAX(Assumptions!$B$7-1,IF(G14="",0,VLOOKUP(G14,$B$9:$K$13,10,FALSE)),IF(H14="",0,VLOOKUP(H14,$B$9:$K$13,10,FALSE)),IF(I14="",0,VLOOKUP(I14,$B$9:$K$13,10,FALSE))),1,Assumptions!$B$9,Assumptions!$B$11:$B$11)</x:f>
        <x:v>46310</x:v>
      </x:c>
      <x:c r="K14" s="31" t="n">
        <x:f>WORKDAY.INTL(J14,F14-1,Assumptions!$B$9,Assumptions!$B$11:$B$11)</x:f>
        <x:v>46319</x:v>
      </x:c>
      <x:c r="L14" s="31" t="n">
        <x:v>46310</x:v>
      </x:c>
      <x:c r="M14" s="31" t="n">
        <x:v>46319</x:v>
      </x:c>
      <x:c r="N14" s="32" t="n">
        <x:v>46310</x:v>
      </x:c>
      <x:c r="O14" s="32" t="n">
        <x:v>46319</x:v>
      </x:c>
      <x:c r="P14" s="30" t="n">
        <x:v>0</x:v>
      </x:c>
      <x:c r="Q14" s="31" t="n">
        <x:f>IF(N14&lt;&gt;"",N14,WORKDAY.INTL(MAX(Assumptions!$B$8,IF(G14="",0,VLOOKUP(G14,$B$9:$R$13,17,FALSE)),IF(H14="",0,VLOOKUP(H14,$B$9:$R$13,17,FALSE)),IF(I14="",0,VLOOKUP(I14,$B$9:$R$13,17,FALSE))),1,Assumptions!$B$9,Assumptions!$B$11:$B$11))</x:f>
        <x:v>46310</x:v>
      </x:c>
      <x:c r="R14" s="31" t="n">
        <x:f>IF(O14&lt;&gt;"",O14,IF(N14&lt;&gt;"",WORKDAY.INTL(Assumptions!$B$8,P14,Assumptions!$B$9,Assumptions!$B$11:$B$11),WORKDAY.INTL(Q14,P14-1,Assumptions!$B$9,Assumptions!$B$11:$B$11)))</x:f>
        <x:v>46319</x:v>
      </x:c>
      <x:c r="S14" s="33" t="n">
        <x:f>R14-M14</x:f>
        <x:v>0</x:v>
      </x:c>
      <x:c r="T14" s="44" t="str">
        <x:f>IF(O14&lt;&gt;"","تمام‌شده",IF(N14&lt;&gt;"","در حال اجرا","شروع‌نشده"))</x:f>
        <x:v>تمام‌شده</x:v>
      </x:c>
    </x:row>
    <x:row r="15" ht="55" customHeight="1">
      <x:c r="A15" s="24" t="n">
        <x:v>7</x:v>
      </x:c>
      <x:c r="B15" s="28" t="str">
        <x:v>ACT-1.2.4-01</x:v>
      </x:c>
      <x:c r="C15" s="28" t="str">
        <x:v>1.2.4</x:v>
      </x:c>
      <x:c r="D15" s="42" t="str">
        <x:v>عایق فونداسیون و خاک‌ریزی</x:v>
      </x:c>
      <x:c r="E15" s="42" t="str">
        <x:v>گروه زیرسازه</x:v>
      </x:c>
      <x:c r="F15" s="30" t="n">
        <x:v>3</x:v>
      </x:c>
      <x:c r="G15" s="28" t="str">
        <x:v>ACT-1.2.3-01</x:v>
      </x:c>
      <x:c r="H15" s="28"/>
      <x:c r="I15" s="28"/>
      <x:c r="J15" s="31" t="n">
        <x:f>WORKDAY.INTL(MAX(Assumptions!$B$7-1,IF(G15="",0,VLOOKUP(G15,$B$9:$K$14,10,FALSE)),IF(H15="",0,VLOOKUP(H15,$B$9:$K$14,10,FALSE)),IF(I15="",0,VLOOKUP(I15,$B$9:$K$14,10,FALSE))),1,Assumptions!$B$9,Assumptions!$B$11:$B$11)</x:f>
        <x:v>46320</x:v>
      </x:c>
      <x:c r="K15" s="31" t="n">
        <x:f>WORKDAY.INTL(J15,F15-1,Assumptions!$B$9,Assumptions!$B$11:$B$11)</x:f>
        <x:v>46322</x:v>
      </x:c>
      <x:c r="L15" s="31" t="n">
        <x:v>46320</x:v>
      </x:c>
      <x:c r="M15" s="31" t="n">
        <x:v>46322</x:v>
      </x:c>
      <x:c r="N15" s="32" t="n">
        <x:v>46320</x:v>
      </x:c>
      <x:c r="O15" s="32" t="n">
        <x:v>46322</x:v>
      </x:c>
      <x:c r="P15" s="30" t="n">
        <x:v>0</x:v>
      </x:c>
      <x:c r="Q15" s="31" t="n">
        <x:f>IF(N15&lt;&gt;"",N15,WORKDAY.INTL(MAX(Assumptions!$B$8,IF(G15="",0,VLOOKUP(G15,$B$9:$R$14,17,FALSE)),IF(H15="",0,VLOOKUP(H15,$B$9:$R$14,17,FALSE)),IF(I15="",0,VLOOKUP(I15,$B$9:$R$14,17,FALSE))),1,Assumptions!$B$9,Assumptions!$B$11:$B$11))</x:f>
        <x:v>46320</x:v>
      </x:c>
      <x:c r="R15" s="31" t="n">
        <x:f>IF(O15&lt;&gt;"",O15,IF(N15&lt;&gt;"",WORKDAY.INTL(Assumptions!$B$8,P15,Assumptions!$B$9,Assumptions!$B$11:$B$11),WORKDAY.INTL(Q15,P15-1,Assumptions!$B$9,Assumptions!$B$11:$B$11)))</x:f>
        <x:v>46322</x:v>
      </x:c>
      <x:c r="S15" s="33" t="n">
        <x:f>R15-M15</x:f>
        <x:v>0</x:v>
      </x:c>
      <x:c r="T15" s="44" t="str">
        <x:f>IF(O15&lt;&gt;"","تمام‌شده",IF(N15&lt;&gt;"","در حال اجرا","شروع‌نشده"))</x:f>
        <x:v>تمام‌شده</x:v>
      </x:c>
    </x:row>
    <x:row r="16" ht="55" customHeight="1">
      <x:c r="A16" s="24" t="n">
        <x:v>8</x:v>
      </x:c>
      <x:c r="B16" s="28" t="str">
        <x:v>ACT-1.3.1-01</x:v>
      </x:c>
      <x:c r="C16" s="28" t="str">
        <x:v>1.3.1</x:v>
      </x:c>
      <x:c r="D16" s="42" t="str">
        <x:v>اجزای قائم اسکلت طبقه ۱</x:v>
      </x:c>
      <x:c r="E16" s="42" t="str">
        <x:v>گروه اسکلت</x:v>
      </x:c>
      <x:c r="F16" s="30" t="n">
        <x:v>3</x:v>
      </x:c>
      <x:c r="G16" s="28" t="str">
        <x:v>ACT-1.2.3-01</x:v>
      </x:c>
      <x:c r="H16" s="28"/>
      <x:c r="I16" s="28"/>
      <x:c r="J16" s="31" t="n">
        <x:f>WORKDAY.INTL(MAX(Assumptions!$B$7-1,IF(G16="",0,VLOOKUP(G16,$B$9:$K$15,10,FALSE)),IF(H16="",0,VLOOKUP(H16,$B$9:$K$15,10,FALSE)),IF(I16="",0,VLOOKUP(I16,$B$9:$K$15,10,FALSE))),1,Assumptions!$B$9,Assumptions!$B$11:$B$11)</x:f>
        <x:v>46320</x:v>
      </x:c>
      <x:c r="K16" s="31" t="n">
        <x:f>WORKDAY.INTL(J16,F16-1,Assumptions!$B$9,Assumptions!$B$11:$B$11)</x:f>
        <x:v>46322</x:v>
      </x:c>
      <x:c r="L16" s="31" t="n">
        <x:v>46320</x:v>
      </x:c>
      <x:c r="M16" s="31" t="n">
        <x:v>46322</x:v>
      </x:c>
      <x:c r="N16" s="32" t="n">
        <x:v>46320</x:v>
      </x:c>
      <x:c r="O16" s="32" t="n">
        <x:v>46322</x:v>
      </x:c>
      <x:c r="P16" s="30" t="n">
        <x:v>0</x:v>
      </x:c>
      <x:c r="Q16" s="31" t="n">
        <x:f>IF(N16&lt;&gt;"",N16,WORKDAY.INTL(MAX(Assumptions!$B$8,IF(G16="",0,VLOOKUP(G16,$B$9:$R$15,17,FALSE)),IF(H16="",0,VLOOKUP(H16,$B$9:$R$15,17,FALSE)),IF(I16="",0,VLOOKUP(I16,$B$9:$R$15,17,FALSE))),1,Assumptions!$B$9,Assumptions!$B$11:$B$11))</x:f>
        <x:v>46320</x:v>
      </x:c>
      <x:c r="R16" s="31" t="n">
        <x:f>IF(O16&lt;&gt;"",O16,IF(N16&lt;&gt;"",WORKDAY.INTL(Assumptions!$B$8,P16,Assumptions!$B$9,Assumptions!$B$11:$B$11),WORKDAY.INTL(Q16,P16-1,Assumptions!$B$9,Assumptions!$B$11:$B$11)))</x:f>
        <x:v>46322</x:v>
      </x:c>
      <x:c r="S16" s="33" t="n">
        <x:f>R16-M16</x:f>
        <x:v>0</x:v>
      </x:c>
      <x:c r="T16" s="44" t="str">
        <x:f>IF(O16&lt;&gt;"","تمام‌شده",IF(N16&lt;&gt;"","در حال اجرا","شروع‌نشده"))</x:f>
        <x:v>تمام‌شده</x:v>
      </x:c>
    </x:row>
    <x:row r="17" ht="55" customHeight="1">
      <x:c r="A17" s="24" t="n">
        <x:v>9</x:v>
      </x:c>
      <x:c r="B17" s="28" t="str">
        <x:v>ACT-1.3.1-02</x:v>
      </x:c>
      <x:c r="C17" s="28" t="str">
        <x:v>1.3.1</x:v>
      </x:c>
      <x:c r="D17" s="42" t="str">
        <x:v>سقف طبقه ۱ و کنترل پایان</x:v>
      </x:c>
      <x:c r="E17" s="42" t="str">
        <x:v>گروه اسکلت</x:v>
      </x:c>
      <x:c r="F17" s="30" t="n">
        <x:v>5</x:v>
      </x:c>
      <x:c r="G17" s="28" t="str">
        <x:v>ACT-1.3.1-01</x:v>
      </x:c>
      <x:c r="H17" s="28"/>
      <x:c r="I17" s="28"/>
      <x:c r="J17" s="31" t="n">
        <x:f>WORKDAY.INTL(MAX(Assumptions!$B$7-1,IF(G17="",0,VLOOKUP(G17,$B$9:$K$16,10,FALSE)),IF(H17="",0,VLOOKUP(H17,$B$9:$K$16,10,FALSE)),IF(I17="",0,VLOOKUP(I17,$B$9:$K$16,10,FALSE))),1,Assumptions!$B$9,Assumptions!$B$11:$B$11)</x:f>
        <x:v>46323</x:v>
      </x:c>
      <x:c r="K17" s="31" t="n">
        <x:f>WORKDAY.INTL(J17,F17-1,Assumptions!$B$9,Assumptions!$B$11:$B$11)</x:f>
        <x:v>46328</x:v>
      </x:c>
      <x:c r="L17" s="31" t="n">
        <x:v>46323</x:v>
      </x:c>
      <x:c r="M17" s="31" t="n">
        <x:v>46328</x:v>
      </x:c>
      <x:c r="N17" s="32" t="n">
        <x:v>46323</x:v>
      </x:c>
      <x:c r="O17" s="32" t="n">
        <x:v>46328</x:v>
      </x:c>
      <x:c r="P17" s="30" t="n">
        <x:v>0</x:v>
      </x:c>
      <x:c r="Q17" s="31" t="n">
        <x:f>IF(N17&lt;&gt;"",N17,WORKDAY.INTL(MAX(Assumptions!$B$8,IF(G17="",0,VLOOKUP(G17,$B$9:$R$16,17,FALSE)),IF(H17="",0,VLOOKUP(H17,$B$9:$R$16,17,FALSE)),IF(I17="",0,VLOOKUP(I17,$B$9:$R$16,17,FALSE))),1,Assumptions!$B$9,Assumptions!$B$11:$B$11))</x:f>
        <x:v>46323</x:v>
      </x:c>
      <x:c r="R17" s="31" t="n">
        <x:f>IF(O17&lt;&gt;"",O17,IF(N17&lt;&gt;"",WORKDAY.INTL(Assumptions!$B$8,P17,Assumptions!$B$9,Assumptions!$B$11:$B$11),WORKDAY.INTL(Q17,P17-1,Assumptions!$B$9,Assumptions!$B$11:$B$11)))</x:f>
        <x:v>46328</x:v>
      </x:c>
      <x:c r="S17" s="33" t="n">
        <x:f>R17-M17</x:f>
        <x:v>0</x:v>
      </x:c>
      <x:c r="T17" s="44" t="str">
        <x:f>IF(O17&lt;&gt;"","تمام‌شده",IF(N17&lt;&gt;"","در حال اجرا","شروع‌نشده"))</x:f>
        <x:v>تمام‌شده</x:v>
      </x:c>
    </x:row>
    <x:row r="18" ht="55" customHeight="1">
      <x:c r="A18" s="24" t="n">
        <x:v>10</x:v>
      </x:c>
      <x:c r="B18" s="28" t="str">
        <x:v>ACT-1.3.2-01</x:v>
      </x:c>
      <x:c r="C18" s="28" t="str">
        <x:v>1.3.2</x:v>
      </x:c>
      <x:c r="D18" s="42" t="str">
        <x:v>اجزای قائم اسکلت طبقه ۲</x:v>
      </x:c>
      <x:c r="E18" s="42" t="str">
        <x:v>گروه اسکلت</x:v>
      </x:c>
      <x:c r="F18" s="30" t="n">
        <x:v>3</x:v>
      </x:c>
      <x:c r="G18" s="28" t="str">
        <x:v>ACT-1.3.1-02</x:v>
      </x:c>
      <x:c r="H18" s="28"/>
      <x:c r="I18" s="28"/>
      <x:c r="J18" s="31" t="n">
        <x:f>WORKDAY.INTL(MAX(Assumptions!$B$7-1,IF(G18="",0,VLOOKUP(G18,$B$9:$K$17,10,FALSE)),IF(H18="",0,VLOOKUP(H18,$B$9:$K$17,10,FALSE)),IF(I18="",0,VLOOKUP(I18,$B$9:$K$17,10,FALSE))),1,Assumptions!$B$9,Assumptions!$B$11:$B$11)</x:f>
        <x:v>46329</x:v>
      </x:c>
      <x:c r="K18" s="31" t="n">
        <x:f>WORKDAY.INTL(J18,F18-1,Assumptions!$B$9,Assumptions!$B$11:$B$11)</x:f>
        <x:v>46331</x:v>
      </x:c>
      <x:c r="L18" s="31" t="n">
        <x:v>46329</x:v>
      </x:c>
      <x:c r="M18" s="31" t="n">
        <x:v>46331</x:v>
      </x:c>
      <x:c r="N18" s="32" t="n">
        <x:v>46329</x:v>
      </x:c>
      <x:c r="O18" s="32" t="n">
        <x:v>46331</x:v>
      </x:c>
      <x:c r="P18" s="30" t="n">
        <x:v>0</x:v>
      </x:c>
      <x:c r="Q18" s="31" t="n">
        <x:f>IF(N18&lt;&gt;"",N18,WORKDAY.INTL(MAX(Assumptions!$B$8,IF(G18="",0,VLOOKUP(G18,$B$9:$R$17,17,FALSE)),IF(H18="",0,VLOOKUP(H18,$B$9:$R$17,17,FALSE)),IF(I18="",0,VLOOKUP(I18,$B$9:$R$17,17,FALSE))),1,Assumptions!$B$9,Assumptions!$B$11:$B$11))</x:f>
        <x:v>46329</x:v>
      </x:c>
      <x:c r="R18" s="31" t="n">
        <x:f>IF(O18&lt;&gt;"",O18,IF(N18&lt;&gt;"",WORKDAY.INTL(Assumptions!$B$8,P18,Assumptions!$B$9,Assumptions!$B$11:$B$11),WORKDAY.INTL(Q18,P18-1,Assumptions!$B$9,Assumptions!$B$11:$B$11)))</x:f>
        <x:v>46331</x:v>
      </x:c>
      <x:c r="S18" s="33" t="n">
        <x:f>R18-M18</x:f>
        <x:v>0</x:v>
      </x:c>
      <x:c r="T18" s="44" t="str">
        <x:f>IF(O18&lt;&gt;"","تمام‌شده",IF(N18&lt;&gt;"","در حال اجرا","شروع‌نشده"))</x:f>
        <x:v>تمام‌شده</x:v>
      </x:c>
    </x:row>
    <x:row r="19" ht="55" customHeight="1">
      <x:c r="A19" s="24" t="n">
        <x:v>11</x:v>
      </x:c>
      <x:c r="B19" s="28" t="str">
        <x:v>ACT-1.3.2-02</x:v>
      </x:c>
      <x:c r="C19" s="28" t="str">
        <x:v>1.3.2</x:v>
      </x:c>
      <x:c r="D19" s="42" t="str">
        <x:v>سقف طبقه ۲ و کنترل پایان</x:v>
      </x:c>
      <x:c r="E19" s="42" t="str">
        <x:v>گروه اسکلت</x:v>
      </x:c>
      <x:c r="F19" s="30" t="n">
        <x:v>5</x:v>
      </x:c>
      <x:c r="G19" s="28" t="str">
        <x:v>ACT-1.3.2-01</x:v>
      </x:c>
      <x:c r="H19" s="28"/>
      <x:c r="I19" s="28"/>
      <x:c r="J19" s="31" t="n">
        <x:f>WORKDAY.INTL(MAX(Assumptions!$B$7-1,IF(G19="",0,VLOOKUP(G19,$B$9:$K$18,10,FALSE)),IF(H19="",0,VLOOKUP(H19,$B$9:$K$18,10,FALSE)),IF(I19="",0,VLOOKUP(I19,$B$9:$K$18,10,FALSE))),1,Assumptions!$B$9,Assumptions!$B$11:$B$11)</x:f>
        <x:v>46333</x:v>
      </x:c>
      <x:c r="K19" s="31" t="n">
        <x:f>WORKDAY.INTL(J19,F19-1,Assumptions!$B$9,Assumptions!$B$11:$B$11)</x:f>
        <x:v>46337</x:v>
      </x:c>
      <x:c r="L19" s="31" t="n">
        <x:v>46333</x:v>
      </x:c>
      <x:c r="M19" s="31" t="n">
        <x:v>46337</x:v>
      </x:c>
      <x:c r="N19" s="32" t="n">
        <x:v>46333</x:v>
      </x:c>
      <x:c r="O19" s="32"/>
      <x:c r="P19" s="30" t="n">
        <x:v>5</x:v>
      </x:c>
      <x:c r="Q19" s="31" t="n">
        <x:f>IF(N19&lt;&gt;"",N19,WORKDAY.INTL(MAX(Assumptions!$B$8,IF(G19="",0,VLOOKUP(G19,$B$9:$R$18,17,FALSE)),IF(H19="",0,VLOOKUP(H19,$B$9:$R$18,17,FALSE)),IF(I19="",0,VLOOKUP(I19,$B$9:$R$18,17,FALSE))),1,Assumptions!$B$9,Assumptions!$B$11:$B$11))</x:f>
        <x:v>46333</x:v>
      </x:c>
      <x:c r="R19" s="31" t="n">
        <x:f>IF(O19&lt;&gt;"",O19,IF(N19&lt;&gt;"",WORKDAY.INTL(Assumptions!$B$8,P19,Assumptions!$B$9,Assumptions!$B$11:$B$11),WORKDAY.INTL(Q19,P19-1,Assumptions!$B$9,Assumptions!$B$11:$B$11)))</x:f>
        <x:v>46340</x:v>
      </x:c>
      <x:c r="S19" s="33" t="n">
        <x:f>R19-M19</x:f>
        <x:v>3</x:v>
      </x:c>
      <x:c r="T19" s="44" t="str">
        <x:f>IF(O19&lt;&gt;"","تمام‌شده",IF(N19&lt;&gt;"","در حال اجرا","شروع‌نشده"))</x:f>
        <x:v>در حال اجرا</x:v>
      </x:c>
    </x:row>
    <x:row r="20" ht="55" customHeight="1">
      <x:c r="A20" s="24" t="n">
        <x:v>12</x:v>
      </x:c>
      <x:c r="B20" s="28" t="str">
        <x:v>ACT-1.3.3-01</x:v>
      </x:c>
      <x:c r="C20" s="28" t="str">
        <x:v>1.3.3</x:v>
      </x:c>
      <x:c r="D20" s="42" t="str">
        <x:v>اجزای قائم اسکلت طبقه ۳</x:v>
      </x:c>
      <x:c r="E20" s="42" t="str">
        <x:v>گروه اسکلت</x:v>
      </x:c>
      <x:c r="F20" s="30" t="n">
        <x:v>3</x:v>
      </x:c>
      <x:c r="G20" s="28" t="str">
        <x:v>ACT-1.3.2-02</x:v>
      </x:c>
      <x:c r="H20" s="28"/>
      <x:c r="I20" s="28"/>
      <x:c r="J20" s="31" t="n">
        <x:f>WORKDAY.INTL(MAX(Assumptions!$B$7-1,IF(G20="",0,VLOOKUP(G20,$B$9:$K$19,10,FALSE)),IF(H20="",0,VLOOKUP(H20,$B$9:$K$19,10,FALSE)),IF(I20="",0,VLOOKUP(I20,$B$9:$K$19,10,FALSE))),1,Assumptions!$B$9,Assumptions!$B$11:$B$11)</x:f>
        <x:v>46338</x:v>
      </x:c>
      <x:c r="K20" s="31" t="n">
        <x:f>WORKDAY.INTL(J20,F20-1,Assumptions!$B$9,Assumptions!$B$11:$B$11)</x:f>
        <x:v>46341</x:v>
      </x:c>
      <x:c r="L20" s="31" t="n">
        <x:v>46338</x:v>
      </x:c>
      <x:c r="M20" s="31" t="n">
        <x:v>46341</x:v>
      </x:c>
      <x:c r="N20" s="32"/>
      <x:c r="O20" s="32"/>
      <x:c r="P20" s="30" t="n">
        <x:v>3</x:v>
      </x:c>
      <x:c r="Q20" s="31" t="n">
        <x:f>IF(N20&lt;&gt;"",N20,WORKDAY.INTL(MAX(Assumptions!$B$8,IF(G20="",0,VLOOKUP(G20,$B$9:$R$19,17,FALSE)),IF(H20="",0,VLOOKUP(H20,$B$9:$R$19,17,FALSE)),IF(I20="",0,VLOOKUP(I20,$B$9:$R$19,17,FALSE))),1,Assumptions!$B$9,Assumptions!$B$11:$B$11))</x:f>
        <x:v>46341</x:v>
      </x:c>
      <x:c r="R20" s="31" t="n">
        <x:f>IF(O20&lt;&gt;"",O20,IF(N20&lt;&gt;"",WORKDAY.INTL(Assumptions!$B$8,P20,Assumptions!$B$9,Assumptions!$B$11:$B$11),WORKDAY.INTL(Q20,P20-1,Assumptions!$B$9,Assumptions!$B$11:$B$11)))</x:f>
        <x:v>46343</x:v>
      </x:c>
      <x:c r="S20" s="33" t="n">
        <x:f>R20-M20</x:f>
        <x:v>2</x:v>
      </x:c>
      <x:c r="T20" s="44" t="str">
        <x:f>IF(O20&lt;&gt;"","تمام‌شده",IF(N20&lt;&gt;"","در حال اجرا","شروع‌نشده"))</x:f>
        <x:v>شروع‌نشده</x:v>
      </x:c>
    </x:row>
    <x:row r="21" ht="55" customHeight="1">
      <x:c r="A21" s="24" t="n">
        <x:v>13</x:v>
      </x:c>
      <x:c r="B21" s="28" t="str">
        <x:v>ACT-1.3.3-02</x:v>
      </x:c>
      <x:c r="C21" s="28" t="str">
        <x:v>1.3.3</x:v>
      </x:c>
      <x:c r="D21" s="42" t="str">
        <x:v>سقف طبقه ۳ و کنترل پایان</x:v>
      </x:c>
      <x:c r="E21" s="42" t="str">
        <x:v>گروه اسکلت</x:v>
      </x:c>
      <x:c r="F21" s="30" t="n">
        <x:v>5</x:v>
      </x:c>
      <x:c r="G21" s="28" t="str">
        <x:v>ACT-1.3.3-01</x:v>
      </x:c>
      <x:c r="H21" s="28"/>
      <x:c r="I21" s="28"/>
      <x:c r="J21" s="31" t="n">
        <x:f>WORKDAY.INTL(MAX(Assumptions!$B$7-1,IF(G21="",0,VLOOKUP(G21,$B$9:$K$20,10,FALSE)),IF(H21="",0,VLOOKUP(H21,$B$9:$K$20,10,FALSE)),IF(I21="",0,VLOOKUP(I21,$B$9:$K$20,10,FALSE))),1,Assumptions!$B$9,Assumptions!$B$11:$B$11)</x:f>
        <x:v>46342</x:v>
      </x:c>
      <x:c r="K21" s="31" t="n">
        <x:f>WORKDAY.INTL(J21,F21-1,Assumptions!$B$9,Assumptions!$B$11:$B$11)</x:f>
        <x:v>46347</x:v>
      </x:c>
      <x:c r="L21" s="31" t="n">
        <x:v>46342</x:v>
      </x:c>
      <x:c r="M21" s="31" t="n">
        <x:v>46347</x:v>
      </x:c>
      <x:c r="N21" s="32"/>
      <x:c r="O21" s="32"/>
      <x:c r="P21" s="30" t="n">
        <x:v>5</x:v>
      </x:c>
      <x:c r="Q21" s="31" t="n">
        <x:f>IF(N21&lt;&gt;"",N21,WORKDAY.INTL(MAX(Assumptions!$B$8,IF(G21="",0,VLOOKUP(G21,$B$9:$R$20,17,FALSE)),IF(H21="",0,VLOOKUP(H21,$B$9:$R$20,17,FALSE)),IF(I21="",0,VLOOKUP(I21,$B$9:$R$20,17,FALSE))),1,Assumptions!$B$9,Assumptions!$B$11:$B$11))</x:f>
        <x:v>46344</x:v>
      </x:c>
      <x:c r="R21" s="31" t="n">
        <x:f>IF(O21&lt;&gt;"",O21,IF(N21&lt;&gt;"",WORKDAY.INTL(Assumptions!$B$8,P21,Assumptions!$B$9,Assumptions!$B$11:$B$11),WORKDAY.INTL(Q21,P21-1,Assumptions!$B$9,Assumptions!$B$11:$B$11)))</x:f>
        <x:v>46349</x:v>
      </x:c>
      <x:c r="S21" s="33" t="n">
        <x:f>R21-M21</x:f>
        <x:v>2</x:v>
      </x:c>
      <x:c r="T21" s="44" t="str">
        <x:f>IF(O21&lt;&gt;"","تمام‌شده",IF(N21&lt;&gt;"","در حال اجرا","شروع‌نشده"))</x:f>
        <x:v>شروع‌نشده</x:v>
      </x:c>
    </x:row>
    <x:row r="22" ht="55" customHeight="1">
      <x:c r="A22" s="24" t="n">
        <x:v>14</x:v>
      </x:c>
      <x:c r="B22" s="28" t="str">
        <x:v>ACT-1.3.4-01</x:v>
      </x:c>
      <x:c r="C22" s="28" t="str">
        <x:v>1.3.4</x:v>
      </x:c>
      <x:c r="D22" s="42" t="str">
        <x:v>اجزای قائم اسکلت طبقه ۴</x:v>
      </x:c>
      <x:c r="E22" s="42" t="str">
        <x:v>گروه اسکلت</x:v>
      </x:c>
      <x:c r="F22" s="30" t="n">
        <x:v>3</x:v>
      </x:c>
      <x:c r="G22" s="28" t="str">
        <x:v>ACT-1.3.3-02</x:v>
      </x:c>
      <x:c r="H22" s="28"/>
      <x:c r="I22" s="28"/>
      <x:c r="J22" s="31" t="n">
        <x:f>WORKDAY.INTL(MAX(Assumptions!$B$7-1,IF(G22="",0,VLOOKUP(G22,$B$9:$K$21,10,FALSE)),IF(H22="",0,VLOOKUP(H22,$B$9:$K$21,10,FALSE)),IF(I22="",0,VLOOKUP(I22,$B$9:$K$21,10,FALSE))),1,Assumptions!$B$9,Assumptions!$B$11:$B$11)</x:f>
        <x:v>46348</x:v>
      </x:c>
      <x:c r="K22" s="31" t="n">
        <x:f>WORKDAY.INTL(J22,F22-1,Assumptions!$B$9,Assumptions!$B$11:$B$11)</x:f>
        <x:v>46350</x:v>
      </x:c>
      <x:c r="L22" s="31" t="n">
        <x:v>46348</x:v>
      </x:c>
      <x:c r="M22" s="31" t="n">
        <x:v>46350</x:v>
      </x:c>
      <x:c r="N22" s="32"/>
      <x:c r="O22" s="32"/>
      <x:c r="P22" s="30" t="n">
        <x:v>3</x:v>
      </x:c>
      <x:c r="Q22" s="31" t="n">
        <x:f>IF(N22&lt;&gt;"",N22,WORKDAY.INTL(MAX(Assumptions!$B$8,IF(G22="",0,VLOOKUP(G22,$B$9:$R$21,17,FALSE)),IF(H22="",0,VLOOKUP(H22,$B$9:$R$21,17,FALSE)),IF(I22="",0,VLOOKUP(I22,$B$9:$R$21,17,FALSE))),1,Assumptions!$B$9,Assumptions!$B$11:$B$11))</x:f>
        <x:v>46350</x:v>
      </x:c>
      <x:c r="R22" s="31" t="n">
        <x:f>IF(O22&lt;&gt;"",O22,IF(N22&lt;&gt;"",WORKDAY.INTL(Assumptions!$B$8,P22,Assumptions!$B$9,Assumptions!$B$11:$B$11),WORKDAY.INTL(Q22,P22-1,Assumptions!$B$9,Assumptions!$B$11:$B$11)))</x:f>
        <x:v>46352</x:v>
      </x:c>
      <x:c r="S22" s="33" t="n">
        <x:f>R22-M22</x:f>
        <x:v>2</x:v>
      </x:c>
      <x:c r="T22" s="44" t="str">
        <x:f>IF(O22&lt;&gt;"","تمام‌شده",IF(N22&lt;&gt;"","در حال اجرا","شروع‌نشده"))</x:f>
        <x:v>شروع‌نشده</x:v>
      </x:c>
    </x:row>
    <x:row r="23" ht="55" customHeight="1">
      <x:c r="A23" s="24" t="n">
        <x:v>15</x:v>
      </x:c>
      <x:c r="B23" s="28" t="str">
        <x:v>ACT-1.3.4-02</x:v>
      </x:c>
      <x:c r="C23" s="28" t="str">
        <x:v>1.3.4</x:v>
      </x:c>
      <x:c r="D23" s="42" t="str">
        <x:v>سقف طبقه ۴ و کنترل پایان</x:v>
      </x:c>
      <x:c r="E23" s="42" t="str">
        <x:v>گروه اسکلت</x:v>
      </x:c>
      <x:c r="F23" s="30" t="n">
        <x:v>5</x:v>
      </x:c>
      <x:c r="G23" s="28" t="str">
        <x:v>ACT-1.3.4-01</x:v>
      </x:c>
      <x:c r="H23" s="28"/>
      <x:c r="I23" s="28"/>
      <x:c r="J23" s="31" t="n">
        <x:f>WORKDAY.INTL(MAX(Assumptions!$B$7-1,IF(G23="",0,VLOOKUP(G23,$B$9:$K$22,10,FALSE)),IF(H23="",0,VLOOKUP(H23,$B$9:$K$22,10,FALSE)),IF(I23="",0,VLOOKUP(I23,$B$9:$K$22,10,FALSE))),1,Assumptions!$B$9,Assumptions!$B$11:$B$11)</x:f>
        <x:v>46351</x:v>
      </x:c>
      <x:c r="K23" s="31" t="n">
        <x:f>WORKDAY.INTL(J23,F23-1,Assumptions!$B$9,Assumptions!$B$11:$B$11)</x:f>
        <x:v>46356</x:v>
      </x:c>
      <x:c r="L23" s="31" t="n">
        <x:v>46351</x:v>
      </x:c>
      <x:c r="M23" s="31" t="n">
        <x:v>46356</x:v>
      </x:c>
      <x:c r="N23" s="32"/>
      <x:c r="O23" s="32"/>
      <x:c r="P23" s="30" t="n">
        <x:v>5</x:v>
      </x:c>
      <x:c r="Q23" s="31" t="n">
        <x:f>IF(N23&lt;&gt;"",N23,WORKDAY.INTL(MAX(Assumptions!$B$8,IF(G23="",0,VLOOKUP(G23,$B$9:$R$22,17,FALSE)),IF(H23="",0,VLOOKUP(H23,$B$9:$R$22,17,FALSE)),IF(I23="",0,VLOOKUP(I23,$B$9:$R$22,17,FALSE))),1,Assumptions!$B$9,Assumptions!$B$11:$B$11))</x:f>
        <x:v>46354</x:v>
      </x:c>
      <x:c r="R23" s="31" t="n">
        <x:f>IF(O23&lt;&gt;"",O23,IF(N23&lt;&gt;"",WORKDAY.INTL(Assumptions!$B$8,P23,Assumptions!$B$9,Assumptions!$B$11:$B$11),WORKDAY.INTL(Q23,P23-1,Assumptions!$B$9,Assumptions!$B$11:$B$11)))</x:f>
        <x:v>46358</x:v>
      </x:c>
      <x:c r="S23" s="33" t="n">
        <x:f>R23-M23</x:f>
        <x:v>2</x:v>
      </x:c>
      <x:c r="T23" s="44" t="str">
        <x:f>IF(O23&lt;&gt;"","تمام‌شده",IF(N23&lt;&gt;"","در حال اجرا","شروع‌نشده"))</x:f>
        <x:v>شروع‌نشده</x:v>
      </x:c>
    </x:row>
    <x:row r="24" ht="55" customHeight="1">
      <x:c r="A24" s="24" t="n">
        <x:v>16</x:v>
      </x:c>
      <x:c r="B24" s="28" t="str">
        <x:v>ACT-1.4-01</x:v>
      </x:c>
      <x:c r="C24" s="28" t="str">
        <x:v>1.4</x:v>
      </x:c>
      <x:c r="D24" s="42" t="str">
        <x:v>دیوارچینی طبقات ۱ و ۲</x:v>
      </x:c>
      <x:c r="E24" s="42" t="str">
        <x:v>گروه دیوارچینی</x:v>
      </x:c>
      <x:c r="F24" s="30" t="n">
        <x:v>16</x:v>
      </x:c>
      <x:c r="G24" s="28" t="str">
        <x:v>ACT-1.3.1-02</x:v>
      </x:c>
      <x:c r="H24" s="28"/>
      <x:c r="I24" s="28"/>
      <x:c r="J24" s="31" t="n">
        <x:f>WORKDAY.INTL(MAX(Assumptions!$B$7-1,IF(G24="",0,VLOOKUP(G24,$B$9:$K$23,10,FALSE)),IF(H24="",0,VLOOKUP(H24,$B$9:$K$23,10,FALSE)),IF(I24="",0,VLOOKUP(I24,$B$9:$K$23,10,FALSE))),1,Assumptions!$B$9,Assumptions!$B$11:$B$11)</x:f>
        <x:v>46329</x:v>
      </x:c>
      <x:c r="K24" s="31" t="n">
        <x:f>WORKDAY.INTL(J24,F24-1,Assumptions!$B$9,Assumptions!$B$11:$B$11)</x:f>
        <x:v>46347</x:v>
      </x:c>
      <x:c r="L24" s="31" t="n">
        <x:v>46329</x:v>
      </x:c>
      <x:c r="M24" s="31" t="n">
        <x:v>46347</x:v>
      </x:c>
      <x:c r="N24" s="32" t="n">
        <x:v>46329</x:v>
      </x:c>
      <x:c r="O24" s="32"/>
      <x:c r="P24" s="30" t="n">
        <x:v>11</x:v>
      </x:c>
      <x:c r="Q24" s="31" t="n">
        <x:f>IF(N24&lt;&gt;"",N24,WORKDAY.INTL(MAX(Assumptions!$B$8,IF(G24="",0,VLOOKUP(G24,$B$9:$R$23,17,FALSE)),IF(H24="",0,VLOOKUP(H24,$B$9:$R$23,17,FALSE)),IF(I24="",0,VLOOKUP(I24,$B$9:$R$23,17,FALSE))),1,Assumptions!$B$9,Assumptions!$B$11:$B$11))</x:f>
        <x:v>46329</x:v>
      </x:c>
      <x:c r="R24" s="31" t="n">
        <x:f>IF(O24&lt;&gt;"",O24,IF(N24&lt;&gt;"",WORKDAY.INTL(Assumptions!$B$8,P24,Assumptions!$B$9,Assumptions!$B$11:$B$11),WORKDAY.INTL(Q24,P24-1,Assumptions!$B$9,Assumptions!$B$11:$B$11)))</x:f>
        <x:v>46347</x:v>
      </x:c>
      <x:c r="S24" s="33" t="n">
        <x:f>R24-M24</x:f>
        <x:v>0</x:v>
      </x:c>
      <x:c r="T24" s="44" t="str">
        <x:f>IF(O24&lt;&gt;"","تمام‌شده",IF(N24&lt;&gt;"","در حال اجرا","شروع‌نشده"))</x:f>
        <x:v>در حال اجرا</x:v>
      </x:c>
    </x:row>
    <x:row r="25" ht="55" customHeight="1">
      <x:c r="A25" s="24" t="n">
        <x:v>17</x:v>
      </x:c>
      <x:c r="B25" s="28" t="str">
        <x:v>ACT-1.4-02</x:v>
      </x:c>
      <x:c r="C25" s="28" t="str">
        <x:v>1.4</x:v>
      </x:c>
      <x:c r="D25" s="42" t="str">
        <x:v>دیوارچینی طبقات ۳ و ۴</x:v>
      </x:c>
      <x:c r="E25" s="42" t="str">
        <x:v>گروه دیوارچینی</x:v>
      </x:c>
      <x:c r="F25" s="30" t="n">
        <x:v>8</x:v>
      </x:c>
      <x:c r="G25" s="28" t="str">
        <x:v>ACT-1.3.4-02</x:v>
      </x:c>
      <x:c r="H25" s="28" t="str">
        <x:v>ACT-1.4-01</x:v>
      </x:c>
      <x:c r="I25" s="28"/>
      <x:c r="J25" s="31" t="n">
        <x:f>WORKDAY.INTL(MAX(Assumptions!$B$7-1,IF(G25="",0,VLOOKUP(G25,$B$9:$K$24,10,FALSE)),IF(H25="",0,VLOOKUP(H25,$B$9:$K$24,10,FALSE)),IF(I25="",0,VLOOKUP(I25,$B$9:$K$24,10,FALSE))),1,Assumptions!$B$9,Assumptions!$B$11:$B$11)</x:f>
        <x:v>46357</x:v>
      </x:c>
      <x:c r="K25" s="31" t="n">
        <x:f>WORKDAY.INTL(J25,F25-1,Assumptions!$B$9,Assumptions!$B$11:$B$11)</x:f>
        <x:v>46365</x:v>
      </x:c>
      <x:c r="L25" s="31" t="n">
        <x:v>46357</x:v>
      </x:c>
      <x:c r="M25" s="31" t="n">
        <x:v>46365</x:v>
      </x:c>
      <x:c r="N25" s="32"/>
      <x:c r="O25" s="32"/>
      <x:c r="P25" s="30" t="n">
        <x:v>8</x:v>
      </x:c>
      <x:c r="Q25" s="31" t="n">
        <x:f>IF(N25&lt;&gt;"",N25,WORKDAY.INTL(MAX(Assumptions!$B$8,IF(G25="",0,VLOOKUP(G25,$B$9:$R$24,17,FALSE)),IF(H25="",0,VLOOKUP(H25,$B$9:$R$24,17,FALSE)),IF(I25="",0,VLOOKUP(I25,$B$9:$R$24,17,FALSE))),1,Assumptions!$B$9,Assumptions!$B$11:$B$11))</x:f>
        <x:v>46359</x:v>
      </x:c>
      <x:c r="R25" s="31" t="n">
        <x:f>IF(O25&lt;&gt;"",O25,IF(N25&lt;&gt;"",WORKDAY.INTL(Assumptions!$B$8,P25,Assumptions!$B$9,Assumptions!$B$11:$B$11),WORKDAY.INTL(Q25,P25-1,Assumptions!$B$9,Assumptions!$B$11:$B$11)))</x:f>
        <x:v>46368</x:v>
      </x:c>
      <x:c r="S25" s="33" t="n">
        <x:f>R25-M25</x:f>
        <x:v>3</x:v>
      </x:c>
      <x:c r="T25" s="44" t="str">
        <x:f>IF(O25&lt;&gt;"","تمام‌شده",IF(N25&lt;&gt;"","در حال اجرا","شروع‌نشده"))</x:f>
        <x:v>شروع‌نشده</x:v>
      </x:c>
    </x:row>
    <x:row r="26" ht="55" customHeight="1">
      <x:c r="A26" s="24" t="n">
        <x:v>18</x:v>
      </x:c>
      <x:c r="B26" s="28" t="str">
        <x:v>ACT-1.5.1-01</x:v>
      </x:c>
      <x:c r="C26" s="28" t="str">
        <x:v>1.5.1</x:v>
      </x:c>
      <x:c r="D26" s="42" t="str">
        <x:v>لوله‌کشی آب و فاضلاب</x:v>
      </x:c>
      <x:c r="E26" s="42" t="str">
        <x:v>گروه مکانیک</x:v>
      </x:c>
      <x:c r="F26" s="30" t="n">
        <x:v>8</x:v>
      </x:c>
      <x:c r="G26" s="28" t="str">
        <x:v>ACT-1.4-02</x:v>
      </x:c>
      <x:c r="H26" s="28"/>
      <x:c r="I26" s="28"/>
      <x:c r="J26" s="31" t="n">
        <x:f>WORKDAY.INTL(MAX(Assumptions!$B$7-1,IF(G26="",0,VLOOKUP(G26,$B$9:$K$25,10,FALSE)),IF(H26="",0,VLOOKUP(H26,$B$9:$K$25,10,FALSE)),IF(I26="",0,VLOOKUP(I26,$B$9:$K$25,10,FALSE))),1,Assumptions!$B$9,Assumptions!$B$11:$B$11)</x:f>
        <x:v>46366</x:v>
      </x:c>
      <x:c r="K26" s="31" t="n">
        <x:f>WORKDAY.INTL(J26,F26-1,Assumptions!$B$9,Assumptions!$B$11:$B$11)</x:f>
        <x:v>46375</x:v>
      </x:c>
      <x:c r="L26" s="31" t="n">
        <x:v>46366</x:v>
      </x:c>
      <x:c r="M26" s="31" t="n">
        <x:v>46375</x:v>
      </x:c>
      <x:c r="N26" s="32"/>
      <x:c r="O26" s="32"/>
      <x:c r="P26" s="30" t="n">
        <x:v>8</x:v>
      </x:c>
      <x:c r="Q26" s="31" t="n">
        <x:f>IF(N26&lt;&gt;"",N26,WORKDAY.INTL(MAX(Assumptions!$B$8,IF(G26="",0,VLOOKUP(G26,$B$9:$R$25,17,FALSE)),IF(H26="",0,VLOOKUP(H26,$B$9:$R$25,17,FALSE)),IF(I26="",0,VLOOKUP(I26,$B$9:$R$25,17,FALSE))),1,Assumptions!$B$9,Assumptions!$B$11:$B$11))</x:f>
        <x:v>46369</x:v>
      </x:c>
      <x:c r="R26" s="31" t="n">
        <x:f>IF(O26&lt;&gt;"",O26,IF(N26&lt;&gt;"",WORKDAY.INTL(Assumptions!$B$8,P26,Assumptions!$B$9,Assumptions!$B$11:$B$11),WORKDAY.INTL(Q26,P26-1,Assumptions!$B$9,Assumptions!$B$11:$B$11)))</x:f>
        <x:v>46377</x:v>
      </x:c>
      <x:c r="S26" s="33" t="n">
        <x:f>R26-M26</x:f>
        <x:v>2</x:v>
      </x:c>
      <x:c r="T26" s="44" t="str">
        <x:f>IF(O26&lt;&gt;"","تمام‌شده",IF(N26&lt;&gt;"","در حال اجرا","شروع‌نشده"))</x:f>
        <x:v>شروع‌نشده</x:v>
      </x:c>
    </x:row>
    <x:row r="27" ht="55" customHeight="1">
      <x:c r="A27" s="24" t="n">
        <x:v>19</x:v>
      </x:c>
      <x:c r="B27" s="28" t="str">
        <x:v>ACT-1.5.2-01</x:v>
      </x:c>
      <x:c r="C27" s="28" t="str">
        <x:v>1.5.2</x:v>
      </x:c>
      <x:c r="D27" s="42" t="str">
        <x:v>زیرکار گرمایش و تهویه</x:v>
      </x:c>
      <x:c r="E27" s="42" t="str">
        <x:v>گروه مکانیک</x:v>
      </x:c>
      <x:c r="F27" s="30" t="n">
        <x:v>7</x:v>
      </x:c>
      <x:c r="G27" s="28" t="str">
        <x:v>ACT-1.4-02</x:v>
      </x:c>
      <x:c r="H27" s="28"/>
      <x:c r="I27" s="28"/>
      <x:c r="J27" s="31" t="n">
        <x:f>WORKDAY.INTL(MAX(Assumptions!$B$7-1,IF(G27="",0,VLOOKUP(G27,$B$9:$K$26,10,FALSE)),IF(H27="",0,VLOOKUP(H27,$B$9:$K$26,10,FALSE)),IF(I27="",0,VLOOKUP(I27,$B$9:$K$26,10,FALSE))),1,Assumptions!$B$9,Assumptions!$B$11:$B$11)</x:f>
        <x:v>46366</x:v>
      </x:c>
      <x:c r="K27" s="31" t="n">
        <x:f>WORKDAY.INTL(J27,F27-1,Assumptions!$B$9,Assumptions!$B$11:$B$11)</x:f>
        <x:v>46373</x:v>
      </x:c>
      <x:c r="L27" s="31" t="n">
        <x:v>46366</x:v>
      </x:c>
      <x:c r="M27" s="31" t="n">
        <x:v>46373</x:v>
      </x:c>
      <x:c r="N27" s="32"/>
      <x:c r="O27" s="32"/>
      <x:c r="P27" s="30" t="n">
        <x:v>7</x:v>
      </x:c>
      <x:c r="Q27" s="31" t="n">
        <x:f>IF(N27&lt;&gt;"",N27,WORKDAY.INTL(MAX(Assumptions!$B$8,IF(G27="",0,VLOOKUP(G27,$B$9:$R$26,17,FALSE)),IF(H27="",0,VLOOKUP(H27,$B$9:$R$26,17,FALSE)),IF(I27="",0,VLOOKUP(I27,$B$9:$R$26,17,FALSE))),1,Assumptions!$B$9,Assumptions!$B$11:$B$11))</x:f>
        <x:v>46369</x:v>
      </x:c>
      <x:c r="R27" s="31" t="n">
        <x:f>IF(O27&lt;&gt;"",O27,IF(N27&lt;&gt;"",WORKDAY.INTL(Assumptions!$B$8,P27,Assumptions!$B$9,Assumptions!$B$11:$B$11),WORKDAY.INTL(Q27,P27-1,Assumptions!$B$9,Assumptions!$B$11:$B$11)))</x:f>
        <x:v>46376</x:v>
      </x:c>
      <x:c r="S27" s="33" t="n">
        <x:f>R27-M27</x:f>
        <x:v>3</x:v>
      </x:c>
      <x:c r="T27" s="44" t="str">
        <x:f>IF(O27&lt;&gt;"","تمام‌شده",IF(N27&lt;&gt;"","در حال اجرا","شروع‌نشده"))</x:f>
        <x:v>شروع‌نشده</x:v>
      </x:c>
    </x:row>
    <x:row r="28" ht="55" customHeight="1">
      <x:c r="A28" s="24" t="n">
        <x:v>20</x:v>
      </x:c>
      <x:c r="B28" s="28" t="str">
        <x:v>ACT-1.5.3-01</x:v>
      </x:c>
      <x:c r="C28" s="28" t="str">
        <x:v>1.5.3</x:v>
      </x:c>
      <x:c r="D28" s="42" t="str">
        <x:v>زیرکار برق</x:v>
      </x:c>
      <x:c r="E28" s="42" t="str">
        <x:v>گروه برق</x:v>
      </x:c>
      <x:c r="F28" s="30" t="n">
        <x:v>8</x:v>
      </x:c>
      <x:c r="G28" s="28" t="str">
        <x:v>ACT-1.4-02</x:v>
      </x:c>
      <x:c r="H28" s="28"/>
      <x:c r="I28" s="28"/>
      <x:c r="J28" s="31" t="n">
        <x:f>WORKDAY.INTL(MAX(Assumptions!$B$7-1,IF(G28="",0,VLOOKUP(G28,$B$9:$K$27,10,FALSE)),IF(H28="",0,VLOOKUP(H28,$B$9:$K$27,10,FALSE)),IF(I28="",0,VLOOKUP(I28,$B$9:$K$27,10,FALSE))),1,Assumptions!$B$9,Assumptions!$B$11:$B$11)</x:f>
        <x:v>46366</x:v>
      </x:c>
      <x:c r="K28" s="31" t="n">
        <x:f>WORKDAY.INTL(J28,F28-1,Assumptions!$B$9,Assumptions!$B$11:$B$11)</x:f>
        <x:v>46375</x:v>
      </x:c>
      <x:c r="L28" s="31" t="n">
        <x:v>46366</x:v>
      </x:c>
      <x:c r="M28" s="31" t="n">
        <x:v>46375</x:v>
      </x:c>
      <x:c r="N28" s="32"/>
      <x:c r="O28" s="32"/>
      <x:c r="P28" s="30" t="n">
        <x:v>8</x:v>
      </x:c>
      <x:c r="Q28" s="31" t="n">
        <x:f>IF(N28&lt;&gt;"",N28,WORKDAY.INTL(MAX(Assumptions!$B$8,IF(G28="",0,VLOOKUP(G28,$B$9:$R$27,17,FALSE)),IF(H28="",0,VLOOKUP(H28,$B$9:$R$27,17,FALSE)),IF(I28="",0,VLOOKUP(I28,$B$9:$R$27,17,FALSE))),1,Assumptions!$B$9,Assumptions!$B$11:$B$11))</x:f>
        <x:v>46369</x:v>
      </x:c>
      <x:c r="R28" s="31" t="n">
        <x:f>IF(O28&lt;&gt;"",O28,IF(N28&lt;&gt;"",WORKDAY.INTL(Assumptions!$B$8,P28,Assumptions!$B$9,Assumptions!$B$11:$B$11),WORKDAY.INTL(Q28,P28-1,Assumptions!$B$9,Assumptions!$B$11:$B$11)))</x:f>
        <x:v>46377</x:v>
      </x:c>
      <x:c r="S28" s="33" t="n">
        <x:f>R28-M28</x:f>
        <x:v>2</x:v>
      </x:c>
      <x:c r="T28" s="44" t="str">
        <x:f>IF(O28&lt;&gt;"","تمام‌شده",IF(N28&lt;&gt;"","در حال اجرا","شروع‌نشده"))</x:f>
        <x:v>شروع‌نشده</x:v>
      </x:c>
    </x:row>
    <x:row r="29" ht="55" customHeight="1">
      <x:c r="A29" s="24" t="n">
        <x:v>21</x:v>
      </x:c>
      <x:c r="B29" s="28" t="str">
        <x:v>ACT-1.6.1-01</x:v>
      </x:c>
      <x:c r="C29" s="28" t="str">
        <x:v>1.6.1</x:v>
      </x:c>
      <x:c r="D29" s="42" t="str">
        <x:v>زیرسازی نازک‌کاری</x:v>
      </x:c>
      <x:c r="E29" s="42" t="str">
        <x:v>گروه نازک‌کاری</x:v>
      </x:c>
      <x:c r="F29" s="30" t="n">
        <x:v>10</x:v>
      </x:c>
      <x:c r="G29" s="28" t="str">
        <x:v>ACT-1.5.1-01</x:v>
      </x:c>
      <x:c r="H29" s="28" t="str">
        <x:v>ACT-1.5.2-01</x:v>
      </x:c>
      <x:c r="I29" s="28" t="str">
        <x:v>ACT-1.5.3-01</x:v>
      </x:c>
      <x:c r="J29" s="31" t="n">
        <x:f>WORKDAY.INTL(MAX(Assumptions!$B$7-1,IF(G29="",0,VLOOKUP(G29,$B$9:$K$28,10,FALSE)),IF(H29="",0,VLOOKUP(H29,$B$9:$K$28,10,FALSE)),IF(I29="",0,VLOOKUP(I29,$B$9:$K$28,10,FALSE))),1,Assumptions!$B$9,Assumptions!$B$11:$B$11)</x:f>
        <x:v>46376</x:v>
      </x:c>
      <x:c r="K29" s="31" t="n">
        <x:f>WORKDAY.INTL(J29,F29-1,Assumptions!$B$9,Assumptions!$B$11:$B$11)</x:f>
        <x:v>46386</x:v>
      </x:c>
      <x:c r="L29" s="31" t="n">
        <x:v>46376</x:v>
      </x:c>
      <x:c r="M29" s="31" t="n">
        <x:v>46386</x:v>
      </x:c>
      <x:c r="N29" s="32"/>
      <x:c r="O29" s="32"/>
      <x:c r="P29" s="30" t="n">
        <x:v>10</x:v>
      </x:c>
      <x:c r="Q29" s="31" t="n">
        <x:f>IF(N29&lt;&gt;"",N29,WORKDAY.INTL(MAX(Assumptions!$B$8,IF(G29="",0,VLOOKUP(G29,$B$9:$R$28,17,FALSE)),IF(H29="",0,VLOOKUP(H29,$B$9:$R$28,17,FALSE)),IF(I29="",0,VLOOKUP(I29,$B$9:$R$28,17,FALSE))),1,Assumptions!$B$9,Assumptions!$B$11:$B$11))</x:f>
        <x:v>46378</x:v>
      </x:c>
      <x:c r="R29" s="31" t="n">
        <x:f>IF(O29&lt;&gt;"",O29,IF(N29&lt;&gt;"",WORKDAY.INTL(Assumptions!$B$8,P29,Assumptions!$B$9,Assumptions!$B$11:$B$11),WORKDAY.INTL(Q29,P29-1,Assumptions!$B$9,Assumptions!$B$11:$B$11)))</x:f>
        <x:v>46389</x:v>
      </x:c>
      <x:c r="S29" s="33" t="n">
        <x:f>R29-M29</x:f>
        <x:v>3</x:v>
      </x:c>
      <x:c r="T29" s="44" t="str">
        <x:f>IF(O29&lt;&gt;"","تمام‌شده",IF(N29&lt;&gt;"","در حال اجرا","شروع‌نشده"))</x:f>
        <x:v>شروع‌نشده</x:v>
      </x:c>
    </x:row>
    <x:row r="30" ht="55" customHeight="1">
      <x:c r="A30" s="24" t="n">
        <x:v>22</x:v>
      </x:c>
      <x:c r="B30" s="28" t="str">
        <x:v>ACT-1.6-01</x:v>
      </x:c>
      <x:c r="C30" s="28" t="str">
        <x:v>1.6</x:v>
      </x:c>
      <x:c r="D30" s="42" t="str">
        <x:v>نازک‌کاری نهایی طبقات ۱ و ۲</x:v>
      </x:c>
      <x:c r="E30" s="42" t="str">
        <x:v>گروه نازک‌کاری ۱</x:v>
      </x:c>
      <x:c r="F30" s="30" t="n">
        <x:v>10</x:v>
      </x:c>
      <x:c r="G30" s="28" t="str">
        <x:v>ACT-1.6.1-01</x:v>
      </x:c>
      <x:c r="H30" s="28"/>
      <x:c r="I30" s="28"/>
      <x:c r="J30" s="31" t="n">
        <x:f>WORKDAY.INTL(MAX(Assumptions!$B$7-1,IF(G30="",0,VLOOKUP(G30,$B$9:$K$29,10,FALSE)),IF(H30="",0,VLOOKUP(H30,$B$9:$K$29,10,FALSE)),IF(I30="",0,VLOOKUP(I30,$B$9:$K$29,10,FALSE))),1,Assumptions!$B$9,Assumptions!$B$11:$B$11)</x:f>
        <x:v>46387</x:v>
      </x:c>
      <x:c r="K30" s="31" t="n">
        <x:f>WORKDAY.INTL(J30,F30-1,Assumptions!$B$9,Assumptions!$B$11:$B$11)</x:f>
        <x:v>46398</x:v>
      </x:c>
      <x:c r="L30" s="31" t="n">
        <x:v>46387</x:v>
      </x:c>
      <x:c r="M30" s="31" t="n">
        <x:v>46398</x:v>
      </x:c>
      <x:c r="N30" s="32"/>
      <x:c r="O30" s="32"/>
      <x:c r="P30" s="30" t="n">
        <x:v>10</x:v>
      </x:c>
      <x:c r="Q30" s="31" t="n">
        <x:f>IF(N30&lt;&gt;"",N30,WORKDAY.INTL(MAX(Assumptions!$B$8,IF(G30="",0,VLOOKUP(G30,$B$9:$R$29,17,FALSE)),IF(H30="",0,VLOOKUP(H30,$B$9:$R$29,17,FALSE)),IF(I30="",0,VLOOKUP(I30,$B$9:$R$29,17,FALSE))),1,Assumptions!$B$9,Assumptions!$B$11:$B$11))</x:f>
        <x:v>46390</x:v>
      </x:c>
      <x:c r="R30" s="31" t="n">
        <x:f>IF(O30&lt;&gt;"",O30,IF(N30&lt;&gt;"",WORKDAY.INTL(Assumptions!$B$8,P30,Assumptions!$B$9,Assumptions!$B$11:$B$11),WORKDAY.INTL(Q30,P30-1,Assumptions!$B$9,Assumptions!$B$11:$B$11)))</x:f>
        <x:v>46400</x:v>
      </x:c>
      <x:c r="S30" s="33" t="n">
        <x:f>R30-M30</x:f>
        <x:v>2</x:v>
      </x:c>
      <x:c r="T30" s="44" t="str">
        <x:f>IF(O30&lt;&gt;"","تمام‌شده",IF(N30&lt;&gt;"","در حال اجرا","شروع‌نشده"))</x:f>
        <x:v>شروع‌نشده</x:v>
      </x:c>
    </x:row>
    <x:row r="31" ht="55" customHeight="1">
      <x:c r="A31" s="24" t="n">
        <x:v>23</x:v>
      </x:c>
      <x:c r="B31" s="28" t="str">
        <x:v>ACT-1.6-02</x:v>
      </x:c>
      <x:c r="C31" s="28" t="str">
        <x:v>1.6</x:v>
      </x:c>
      <x:c r="D31" s="42" t="str">
        <x:v>نازک‌کاری نهایی طبقات ۳ و ۴</x:v>
      </x:c>
      <x:c r="E31" s="42" t="str">
        <x:v>گروه نازک‌کاری ۲</x:v>
      </x:c>
      <x:c r="F31" s="30" t="n">
        <x:v>10</x:v>
      </x:c>
      <x:c r="G31" s="28" t="str">
        <x:v>ACT-1.6.1-01</x:v>
      </x:c>
      <x:c r="H31" s="28"/>
      <x:c r="I31" s="28"/>
      <x:c r="J31" s="31" t="n">
        <x:f>WORKDAY.INTL(MAX(Assumptions!$B$7-1,IF(G31="",0,VLOOKUP(G31,$B$9:$K$30,10,FALSE)),IF(H31="",0,VLOOKUP(H31,$B$9:$K$30,10,FALSE)),IF(I31="",0,VLOOKUP(I31,$B$9:$K$30,10,FALSE))),1,Assumptions!$B$9,Assumptions!$B$11:$B$11)</x:f>
        <x:v>46387</x:v>
      </x:c>
      <x:c r="K31" s="31" t="n">
        <x:f>WORKDAY.INTL(J31,F31-1,Assumptions!$B$9,Assumptions!$B$11:$B$11)</x:f>
        <x:v>46398</x:v>
      </x:c>
      <x:c r="L31" s="31" t="n">
        <x:v>46387</x:v>
      </x:c>
      <x:c r="M31" s="31" t="n">
        <x:v>46398</x:v>
      </x:c>
      <x:c r="N31" s="32"/>
      <x:c r="O31" s="32"/>
      <x:c r="P31" s="30" t="n">
        <x:v>10</x:v>
      </x:c>
      <x:c r="Q31" s="31" t="n">
        <x:f>IF(N31&lt;&gt;"",N31,WORKDAY.INTL(MAX(Assumptions!$B$8,IF(G31="",0,VLOOKUP(G31,$B$9:$R$30,17,FALSE)),IF(H31="",0,VLOOKUP(H31,$B$9:$R$30,17,FALSE)),IF(I31="",0,VLOOKUP(I31,$B$9:$R$30,17,FALSE))),1,Assumptions!$B$9,Assumptions!$B$11:$B$11))</x:f>
        <x:v>46390</x:v>
      </x:c>
      <x:c r="R31" s="31" t="n">
        <x:f>IF(O31&lt;&gt;"",O31,IF(N31&lt;&gt;"",WORKDAY.INTL(Assumptions!$B$8,P31,Assumptions!$B$9,Assumptions!$B$11:$B$11),WORKDAY.INTL(Q31,P31-1,Assumptions!$B$9,Assumptions!$B$11:$B$11)))</x:f>
        <x:v>46400</x:v>
      </x:c>
      <x:c r="S31" s="33" t="n">
        <x:f>R31-M31</x:f>
        <x:v>2</x:v>
      </x:c>
      <x:c r="T31" s="44" t="str">
        <x:f>IF(O31&lt;&gt;"","تمام‌شده",IF(N31&lt;&gt;"","در حال اجرا","شروع‌نشده"))</x:f>
        <x:v>شروع‌نشده</x:v>
      </x:c>
    </x:row>
    <x:row r="32" ht="55" customHeight="1">
      <x:c r="A32" s="24" t="n">
        <x:v>24</x:v>
      </x:c>
      <x:c r="B32" s="28" t="str">
        <x:v>ACT-1.6.6-01</x:v>
      </x:c>
      <x:c r="C32" s="28" t="str">
        <x:v>1.6.6</x:v>
      </x:c>
      <x:c r="D32" s="42" t="str">
        <x:v>نصب در و پنجره</x:v>
      </x:c>
      <x:c r="E32" s="42" t="str">
        <x:v>گروه نصب</x:v>
      </x:c>
      <x:c r="F32" s="30" t="n">
        <x:v>6</x:v>
      </x:c>
      <x:c r="G32" s="28" t="str">
        <x:v>ACT-1.6.1-01</x:v>
      </x:c>
      <x:c r="H32" s="28"/>
      <x:c r="I32" s="28"/>
      <x:c r="J32" s="31" t="n">
        <x:f>WORKDAY.INTL(MAX(Assumptions!$B$7-1,IF(G32="",0,VLOOKUP(G32,$B$9:$K$31,10,FALSE)),IF(H32="",0,VLOOKUP(H32,$B$9:$K$31,10,FALSE)),IF(I32="",0,VLOOKUP(I32,$B$9:$K$31,10,FALSE))),1,Assumptions!$B$9,Assumptions!$B$11:$B$11)</x:f>
        <x:v>46387</x:v>
      </x:c>
      <x:c r="K32" s="31" t="n">
        <x:f>WORKDAY.INTL(J32,F32-1,Assumptions!$B$9,Assumptions!$B$11:$B$11)</x:f>
        <x:v>46393</x:v>
      </x:c>
      <x:c r="L32" s="31" t="n">
        <x:v>46387</x:v>
      </x:c>
      <x:c r="M32" s="31" t="n">
        <x:v>46393</x:v>
      </x:c>
      <x:c r="N32" s="32"/>
      <x:c r="O32" s="32"/>
      <x:c r="P32" s="30" t="n">
        <x:v>6</x:v>
      </x:c>
      <x:c r="Q32" s="31" t="n">
        <x:f>IF(N32&lt;&gt;"",N32,WORKDAY.INTL(MAX(Assumptions!$B$8,IF(G32="",0,VLOOKUP(G32,$B$9:$R$31,17,FALSE)),IF(H32="",0,VLOOKUP(H32,$B$9:$R$31,17,FALSE)),IF(I32="",0,VLOOKUP(I32,$B$9:$R$31,17,FALSE))),1,Assumptions!$B$9,Assumptions!$B$11:$B$11))</x:f>
        <x:v>46390</x:v>
      </x:c>
      <x:c r="R32" s="31" t="n">
        <x:f>IF(O32&lt;&gt;"",O32,IF(N32&lt;&gt;"",WORKDAY.INTL(Assumptions!$B$8,P32,Assumptions!$B$9,Assumptions!$B$11:$B$11),WORKDAY.INTL(Q32,P32-1,Assumptions!$B$9,Assumptions!$B$11:$B$11)))</x:f>
        <x:v>46396</x:v>
      </x:c>
      <x:c r="S32" s="33" t="n">
        <x:f>R32-M32</x:f>
        <x:v>3</x:v>
      </x:c>
      <x:c r="T32" s="44" t="str">
        <x:f>IF(O32&lt;&gt;"","تمام‌شده",IF(N32&lt;&gt;"","در حال اجرا","شروع‌نشده"))</x:f>
        <x:v>شروع‌نشده</x:v>
      </x:c>
    </x:row>
    <x:row r="33" ht="55" customHeight="1">
      <x:c r="A33" s="24" t="n">
        <x:v>25</x:v>
      </x:c>
      <x:c r="B33" s="28" t="str">
        <x:v>ACT-1.6.7-01</x:v>
      </x:c>
      <x:c r="C33" s="28" t="str">
        <x:v>1.6.7</x:v>
      </x:c>
      <x:c r="D33" s="42" t="str">
        <x:v>عایق‌کاری بام</x:v>
      </x:c>
      <x:c r="E33" s="42" t="str">
        <x:v>گروه عایق</x:v>
      </x:c>
      <x:c r="F33" s="30" t="n">
        <x:v>5</x:v>
      </x:c>
      <x:c r="G33" s="28" t="str">
        <x:v>ACT-1.3.4-02</x:v>
      </x:c>
      <x:c r="H33" s="28"/>
      <x:c r="I33" s="28"/>
      <x:c r="J33" s="31" t="n">
        <x:f>WORKDAY.INTL(MAX(Assumptions!$B$7-1,IF(G33="",0,VLOOKUP(G33,$B$9:$K$32,10,FALSE)),IF(H33="",0,VLOOKUP(H33,$B$9:$K$32,10,FALSE)),IF(I33="",0,VLOOKUP(I33,$B$9:$K$32,10,FALSE))),1,Assumptions!$B$9,Assumptions!$B$11:$B$11)</x:f>
        <x:v>46357</x:v>
      </x:c>
      <x:c r="K33" s="31" t="n">
        <x:f>WORKDAY.INTL(J33,F33-1,Assumptions!$B$9,Assumptions!$B$11:$B$11)</x:f>
        <x:v>46362</x:v>
      </x:c>
      <x:c r="L33" s="31" t="n">
        <x:v>46357</x:v>
      </x:c>
      <x:c r="M33" s="31" t="n">
        <x:v>46362</x:v>
      </x:c>
      <x:c r="N33" s="32"/>
      <x:c r="O33" s="32"/>
      <x:c r="P33" s="30" t="n">
        <x:v>5</x:v>
      </x:c>
      <x:c r="Q33" s="31" t="n">
        <x:f>IF(N33&lt;&gt;"",N33,WORKDAY.INTL(MAX(Assumptions!$B$8,IF(G33="",0,VLOOKUP(G33,$B$9:$R$32,17,FALSE)),IF(H33="",0,VLOOKUP(H33,$B$9:$R$32,17,FALSE)),IF(I33="",0,VLOOKUP(I33,$B$9:$R$32,17,FALSE))),1,Assumptions!$B$9,Assumptions!$B$11:$B$11))</x:f>
        <x:v>46359</x:v>
      </x:c>
      <x:c r="R33" s="31" t="n">
        <x:f>IF(O33&lt;&gt;"",O33,IF(N33&lt;&gt;"",WORKDAY.INTL(Assumptions!$B$8,P33,Assumptions!$B$9,Assumptions!$B$11:$B$11),WORKDAY.INTL(Q33,P33-1,Assumptions!$B$9,Assumptions!$B$11:$B$11)))</x:f>
        <x:v>46364</x:v>
      </x:c>
      <x:c r="S33" s="33" t="n">
        <x:f>R33-M33</x:f>
        <x:v>2</x:v>
      </x:c>
      <x:c r="T33" s="44" t="str">
        <x:f>IF(O33&lt;&gt;"","تمام‌شده",IF(N33&lt;&gt;"","در حال اجرا","شروع‌نشده"))</x:f>
        <x:v>شروع‌نشده</x:v>
      </x:c>
    </x:row>
    <x:row r="34" ht="55" customHeight="1">
      <x:c r="A34" s="24" t="n">
        <x:v>26</x:v>
      </x:c>
      <x:c r="B34" s="28" t="str">
        <x:v>ACT-1.7-01</x:v>
      </x:c>
      <x:c r="C34" s="28" t="str">
        <x:v>1.7</x:v>
      </x:c>
      <x:c r="D34" s="42" t="str">
        <x:v>نما و محوطه؛ فعالیت تجمیعی</x:v>
      </x:c>
      <x:c r="E34" s="42" t="str">
        <x:v>گروه نما و محوطه</x:v>
      </x:c>
      <x:c r="F34" s="30" t="n">
        <x:v>14</x:v>
      </x:c>
      <x:c r="G34" s="28" t="str">
        <x:v>ACT-1.4-02</x:v>
      </x:c>
      <x:c r="H34" s="28"/>
      <x:c r="I34" s="28"/>
      <x:c r="J34" s="31" t="n">
        <x:f>WORKDAY.INTL(MAX(Assumptions!$B$7-1,IF(G34="",0,VLOOKUP(G34,$B$9:$K$33,10,FALSE)),IF(H34="",0,VLOOKUP(H34,$B$9:$K$33,10,FALSE)),IF(I34="",0,VLOOKUP(I34,$B$9:$K$33,10,FALSE))),1,Assumptions!$B$9,Assumptions!$B$11:$B$11)</x:f>
        <x:v>46366</x:v>
      </x:c>
      <x:c r="K34" s="31" t="n">
        <x:f>WORKDAY.INTL(J34,F34-1,Assumptions!$B$9,Assumptions!$B$11:$B$11)</x:f>
        <x:v>46382</x:v>
      </x:c>
      <x:c r="L34" s="31" t="n">
        <x:v>46366</x:v>
      </x:c>
      <x:c r="M34" s="31" t="n">
        <x:v>46382</x:v>
      </x:c>
      <x:c r="N34" s="32"/>
      <x:c r="O34" s="32"/>
      <x:c r="P34" s="30" t="n">
        <x:v>14</x:v>
      </x:c>
      <x:c r="Q34" s="31" t="n">
        <x:f>IF(N34&lt;&gt;"",N34,WORKDAY.INTL(MAX(Assumptions!$B$8,IF(G34="",0,VLOOKUP(G34,$B$9:$R$33,17,FALSE)),IF(H34="",0,VLOOKUP(H34,$B$9:$R$33,17,FALSE)),IF(I34="",0,VLOOKUP(I34,$B$9:$R$33,17,FALSE))),1,Assumptions!$B$9,Assumptions!$B$11:$B$11))</x:f>
        <x:v>46369</x:v>
      </x:c>
      <x:c r="R34" s="31" t="n">
        <x:f>IF(O34&lt;&gt;"",O34,IF(N34&lt;&gt;"",WORKDAY.INTL(Assumptions!$B$8,P34,Assumptions!$B$9,Assumptions!$B$11:$B$11),WORKDAY.INTL(Q34,P34-1,Assumptions!$B$9,Assumptions!$B$11:$B$11)))</x:f>
        <x:v>46384</x:v>
      </x:c>
      <x:c r="S34" s="33" t="n">
        <x:f>R34-M34</x:f>
        <x:v>2</x:v>
      </x:c>
      <x:c r="T34" s="44" t="str">
        <x:f>IF(O34&lt;&gt;"","تمام‌شده",IF(N34&lt;&gt;"","در حال اجرا","شروع‌نشده"))</x:f>
        <x:v>شروع‌نشده</x:v>
      </x:c>
    </x:row>
    <x:row r="35" ht="55" customHeight="1">
      <x:c r="A35" s="24" t="n">
        <x:v>27</x:v>
      </x:c>
      <x:c r="B35" s="28" t="str">
        <x:v>ACT-1.5-01</x:v>
      </x:c>
      <x:c r="C35" s="28" t="str">
        <x:v>1.5</x:v>
      </x:c>
      <x:c r="D35" s="42" t="str">
        <x:v>نصب نهایی تأسیسات و آسانسور</x:v>
      </x:c>
      <x:c r="E35" s="42" t="str">
        <x:v>گروه تأسیسات</x:v>
      </x:c>
      <x:c r="F35" s="30" t="n">
        <x:v>10</x:v>
      </x:c>
      <x:c r="G35" s="28" t="str">
        <x:v>ACT-1.6-01</x:v>
      </x:c>
      <x:c r="H35" s="28" t="str">
        <x:v>ACT-1.6-02</x:v>
      </x:c>
      <x:c r="I35" s="28" t="str">
        <x:v>ACT-1.6.6-01</x:v>
      </x:c>
      <x:c r="J35" s="31" t="n">
        <x:f>WORKDAY.INTL(MAX(Assumptions!$B$7-1,IF(G35="",0,VLOOKUP(G35,$B$9:$K$34,10,FALSE)),IF(H35="",0,VLOOKUP(H35,$B$9:$K$34,10,FALSE)),IF(I35="",0,VLOOKUP(I35,$B$9:$K$34,10,FALSE))),1,Assumptions!$B$9,Assumptions!$B$11:$B$11)</x:f>
        <x:v>46399</x:v>
      </x:c>
      <x:c r="K35" s="31" t="n">
        <x:f>WORKDAY.INTL(J35,F35-1,Assumptions!$B$9,Assumptions!$B$11:$B$11)</x:f>
        <x:v>46410</x:v>
      </x:c>
      <x:c r="L35" s="31" t="n">
        <x:v>46399</x:v>
      </x:c>
      <x:c r="M35" s="31" t="n">
        <x:v>46410</x:v>
      </x:c>
      <x:c r="N35" s="32"/>
      <x:c r="O35" s="32"/>
      <x:c r="P35" s="30" t="n">
        <x:v>10</x:v>
      </x:c>
      <x:c r="Q35" s="31" t="n">
        <x:f>IF(N35&lt;&gt;"",N35,WORKDAY.INTL(MAX(Assumptions!$B$8,IF(G35="",0,VLOOKUP(G35,$B$9:$R$34,17,FALSE)),IF(H35="",0,VLOOKUP(H35,$B$9:$R$34,17,FALSE)),IF(I35="",0,VLOOKUP(I35,$B$9:$R$34,17,FALSE))),1,Assumptions!$B$9,Assumptions!$B$11:$B$11))</x:f>
        <x:v>46401</x:v>
      </x:c>
      <x:c r="R35" s="31" t="n">
        <x:f>IF(O35&lt;&gt;"",O35,IF(N35&lt;&gt;"",WORKDAY.INTL(Assumptions!$B$8,P35,Assumptions!$B$9,Assumptions!$B$11:$B$11),WORKDAY.INTL(Q35,P35-1,Assumptions!$B$9,Assumptions!$B$11:$B$11)))</x:f>
        <x:v>46412</x:v>
      </x:c>
      <x:c r="S35" s="33" t="n">
        <x:f>R35-M35</x:f>
        <x:v>2</x:v>
      </x:c>
      <x:c r="T35" s="44" t="str">
        <x:f>IF(O35&lt;&gt;"","تمام‌شده",IF(N35&lt;&gt;"","در حال اجرا","شروع‌نشده"))</x:f>
        <x:v>شروع‌نشده</x:v>
      </x:c>
    </x:row>
    <x:row r="36" ht="55" customHeight="1">
      <x:c r="A36" s="24" t="n">
        <x:v>28</x:v>
      </x:c>
      <x:c r="B36" s="28" t="str">
        <x:v>ACT-1.5.7-01</x:v>
      </x:c>
      <x:c r="C36" s="28" t="str">
        <x:v>1.5.7</x:v>
      </x:c>
      <x:c r="D36" s="42" t="str">
        <x:v>آزمون یکپارچه تأسیسات</x:v>
      </x:c>
      <x:c r="E36" s="42" t="str">
        <x:v>گروه راه‌اندازی</x:v>
      </x:c>
      <x:c r="F36" s="30" t="n">
        <x:v>3</x:v>
      </x:c>
      <x:c r="G36" s="28" t="str">
        <x:v>ACT-1.5-01</x:v>
      </x:c>
      <x:c r="H36" s="28"/>
      <x:c r="I36" s="28"/>
      <x:c r="J36" s="31" t="n">
        <x:f>WORKDAY.INTL(MAX(Assumptions!$B$7-1,IF(G36="",0,VLOOKUP(G36,$B$9:$K$35,10,FALSE)),IF(H36="",0,VLOOKUP(H36,$B$9:$K$35,10,FALSE)),IF(I36="",0,VLOOKUP(I36,$B$9:$K$35,10,FALSE))),1,Assumptions!$B$9,Assumptions!$B$11:$B$11)</x:f>
        <x:v>46411</x:v>
      </x:c>
      <x:c r="K36" s="31" t="n">
        <x:f>WORKDAY.INTL(J36,F36-1,Assumptions!$B$9,Assumptions!$B$11:$B$11)</x:f>
        <x:v>46413</x:v>
      </x:c>
      <x:c r="L36" s="31" t="n">
        <x:v>46411</x:v>
      </x:c>
      <x:c r="M36" s="31" t="n">
        <x:v>46413</x:v>
      </x:c>
      <x:c r="N36" s="32"/>
      <x:c r="O36" s="32"/>
      <x:c r="P36" s="30" t="n">
        <x:v>3</x:v>
      </x:c>
      <x:c r="Q36" s="31" t="n">
        <x:f>IF(N36&lt;&gt;"",N36,WORKDAY.INTL(MAX(Assumptions!$B$8,IF(G36="",0,VLOOKUP(G36,$B$9:$R$35,17,FALSE)),IF(H36="",0,VLOOKUP(H36,$B$9:$R$35,17,FALSE)),IF(I36="",0,VLOOKUP(I36,$B$9:$R$35,17,FALSE))),1,Assumptions!$B$9,Assumptions!$B$11:$B$11))</x:f>
        <x:v>46413</x:v>
      </x:c>
      <x:c r="R36" s="31" t="n">
        <x:f>IF(O36&lt;&gt;"",O36,IF(N36&lt;&gt;"",WORKDAY.INTL(Assumptions!$B$8,P36,Assumptions!$B$9,Assumptions!$B$11:$B$11),WORKDAY.INTL(Q36,P36-1,Assumptions!$B$9,Assumptions!$B$11:$B$11)))</x:f>
        <x:v>46415</x:v>
      </x:c>
      <x:c r="S36" s="33" t="n">
        <x:f>R36-M36</x:f>
        <x:v>2</x:v>
      </x:c>
      <x:c r="T36" s="44" t="str">
        <x:f>IF(O36&lt;&gt;"","تمام‌شده",IF(N36&lt;&gt;"","در حال اجرا","شروع‌نشده"))</x:f>
        <x:v>شروع‌نشده</x:v>
      </x:c>
    </x:row>
    <x:row r="37" ht="55" customHeight="1">
      <x:c r="A37" s="24" t="n">
        <x:v>29</x:v>
      </x:c>
      <x:c r="B37" s="28" t="str">
        <x:v>ACT-1.8.3-01</x:v>
      </x:c>
      <x:c r="C37" s="28" t="str">
        <x:v>1.8.3</x:v>
      </x:c>
      <x:c r="D37" s="42" t="str">
        <x:v>تکمیل مدارک چون‌ساخت و بهره‌برداری</x:v>
      </x:c>
      <x:c r="E37" s="42" t="str">
        <x:v>دفتر فنی</x:v>
      </x:c>
      <x:c r="F37" s="30" t="n">
        <x:v>4</x:v>
      </x:c>
      <x:c r="G37" s="28" t="str">
        <x:v>ACT-1.6.7-01</x:v>
      </x:c>
      <x:c r="H37" s="28" t="str">
        <x:v>ACT-1.7-01</x:v>
      </x:c>
      <x:c r="I37" s="28" t="str">
        <x:v>ACT-1.5.7-01</x:v>
      </x:c>
      <x:c r="J37" s="31" t="n">
        <x:f>WORKDAY.INTL(MAX(Assumptions!$B$7-1,IF(G37="",0,VLOOKUP(G37,$B$9:$K$36,10,FALSE)),IF(H37="",0,VLOOKUP(H37,$B$9:$K$36,10,FALSE)),IF(I37="",0,VLOOKUP(I37,$B$9:$K$36,10,FALSE))),1,Assumptions!$B$9,Assumptions!$B$11:$B$11)</x:f>
        <x:v>46414</x:v>
      </x:c>
      <x:c r="K37" s="31" t="n">
        <x:f>WORKDAY.INTL(J37,F37-1,Assumptions!$B$9,Assumptions!$B$11:$B$11)</x:f>
        <x:v>46418</x:v>
      </x:c>
      <x:c r="L37" s="31" t="n">
        <x:v>46414</x:v>
      </x:c>
      <x:c r="M37" s="31" t="n">
        <x:v>46418</x:v>
      </x:c>
      <x:c r="N37" s="32"/>
      <x:c r="O37" s="32"/>
      <x:c r="P37" s="30" t="n">
        <x:v>4</x:v>
      </x:c>
      <x:c r="Q37" s="31" t="n">
        <x:f>IF(N37&lt;&gt;"",N37,WORKDAY.INTL(MAX(Assumptions!$B$8,IF(G37="",0,VLOOKUP(G37,$B$9:$R$36,17,FALSE)),IF(H37="",0,VLOOKUP(H37,$B$9:$R$36,17,FALSE)),IF(I37="",0,VLOOKUP(I37,$B$9:$R$36,17,FALSE))),1,Assumptions!$B$9,Assumptions!$B$11:$B$11))</x:f>
        <x:v>46417</x:v>
      </x:c>
      <x:c r="R37" s="31" t="n">
        <x:f>IF(O37&lt;&gt;"",O37,IF(N37&lt;&gt;"",WORKDAY.INTL(Assumptions!$B$8,P37,Assumptions!$B$9,Assumptions!$B$11:$B$11),WORKDAY.INTL(Q37,P37-1,Assumptions!$B$9,Assumptions!$B$11:$B$11)))</x:f>
        <x:v>46420</x:v>
      </x:c>
      <x:c r="S37" s="33" t="n">
        <x:f>R37-M37</x:f>
        <x:v>2</x:v>
      </x:c>
      <x:c r="T37" s="44" t="str">
        <x:f>IF(O37&lt;&gt;"","تمام‌شده",IF(N37&lt;&gt;"","در حال اجرا","شروع‌نشده"))</x:f>
        <x:v>شروع‌نشده</x:v>
      </x:c>
    </x:row>
    <x:row r="38" ht="55" customHeight="1">
      <x:c r="A38" s="24" t="n">
        <x:v>30</x:v>
      </x:c>
      <x:c r="B38" s="28" t="str">
        <x:v>ACT-1.8.4-01</x:v>
      </x:c>
      <x:c r="C38" s="28" t="str">
        <x:v>1.8.4</x:v>
      </x:c>
      <x:c r="D38" s="42" t="str">
        <x:v>تحویل و جمع‌آوری کارگاه</x:v>
      </x:c>
      <x:c r="E38" s="42" t="str">
        <x:v>مدیر پروژه</x:v>
      </x:c>
      <x:c r="F38" s="30" t="n">
        <x:v>2</x:v>
      </x:c>
      <x:c r="G38" s="28" t="str">
        <x:v>ACT-1.8.3-01</x:v>
      </x:c>
      <x:c r="H38" s="28"/>
      <x:c r="I38" s="28"/>
      <x:c r="J38" s="31" t="n">
        <x:f>WORKDAY.INTL(MAX(Assumptions!$B$7-1,IF(G38="",0,VLOOKUP(G38,$B$9:$K$37,10,FALSE)),IF(H38="",0,VLOOKUP(H38,$B$9:$K$37,10,FALSE)),IF(I38="",0,VLOOKUP(I38,$B$9:$K$37,10,FALSE))),1,Assumptions!$B$9,Assumptions!$B$11:$B$11)</x:f>
        <x:v>46419</x:v>
      </x:c>
      <x:c r="K38" s="31" t="n">
        <x:f>WORKDAY.INTL(J38,F38-1,Assumptions!$B$9,Assumptions!$B$11:$B$11)</x:f>
        <x:v>46420</x:v>
      </x:c>
      <x:c r="L38" s="31" t="n">
        <x:v>46419</x:v>
      </x:c>
      <x:c r="M38" s="31" t="n">
        <x:v>46420</x:v>
      </x:c>
      <x:c r="N38" s="32"/>
      <x:c r="O38" s="32"/>
      <x:c r="P38" s="30" t="n">
        <x:v>2</x:v>
      </x:c>
      <x:c r="Q38" s="31" t="n">
        <x:f>IF(N38&lt;&gt;"",N38,WORKDAY.INTL(MAX(Assumptions!$B$8,IF(G38="",0,VLOOKUP(G38,$B$9:$R$37,17,FALSE)),IF(H38="",0,VLOOKUP(H38,$B$9:$R$37,17,FALSE)),IF(I38="",0,VLOOKUP(I38,$B$9:$R$37,17,FALSE))),1,Assumptions!$B$9,Assumptions!$B$11:$B$11))</x:f>
        <x:v>46421</x:v>
      </x:c>
      <x:c r="R38" s="31" t="n">
        <x:f>IF(O38&lt;&gt;"",O38,IF(N38&lt;&gt;"",WORKDAY.INTL(Assumptions!$B$8,P38,Assumptions!$B$9,Assumptions!$B$11:$B$11),WORKDAY.INTL(Q38,P38-1,Assumptions!$B$9,Assumptions!$B$11:$B$11)))</x:f>
        <x:v>46422</x:v>
      </x:c>
      <x:c r="S38" s="33" t="n">
        <x:f>R38-M38</x:f>
        <x:v>2</x:v>
      </x:c>
      <x:c r="T38" s="44" t="str">
        <x:f>IF(O38&lt;&gt;"","تمام‌شده",IF(N38&lt;&gt;"","در حال اجرا","شروع‌نشده"))</x:f>
        <x:v>شروع‌نشده</x:v>
      </x:c>
    </x:row>
    <x:row r="39" ht="34" customHeight="1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4"/>
      <x:c r="Q39" s="24"/>
      <x:c r="R39" s="24"/>
      <x:c r="S39" s="24"/>
      <x:c r="T39" s="24"/>
    </x:row>
  </x:sheetData>
  <x:pageMargins left="0.7" right="0.7" top="0.75" bottom="0.75" header="0.3" footer="0.3"/>
  <x:tableParts count="1">
    <x:tablePart xmlns:r="http://schemas.openxmlformats.org/officeDocument/2006/relationships" r:id="Ra47ef9e17c3f4fd2"/>
  </x:tableParts>
</x:worksheet>
</file>

<file path=xl/worksheets/sheet2.xml><?xml version="1.0" encoding="utf-8"?>
<x:worksheet xmlns:x="http://schemas.openxmlformats.org/spreadsheetml/2006/main">
  <x:sheetPr>
    <x:tabColor rgb="FF174B35"/>
  </x:sheetPr>
  <x:sheetViews>
    <x:sheetView showGridLines="0" workbookViewId="0"/>
  </x:sheetViews>
  <x:sheetFormatPr defaultRowHeight="15"/>
  <x:cols>
    <x:col min="1" max="1" width="30" hidden="0" customWidth="1"/>
    <x:col min="2" max="2" width="22.5" hidden="0" customWidth="1"/>
    <x:col min="3" max="3" width="81.25" hidden="0" customWidth="1"/>
  </x:cols>
  <x:sheetData>
    <x:row r="1" ht="34" customHeight="1">
      <x:c r="A1" s="24"/>
      <x:c r="B1" s="24"/>
      <x:c r="C1" s="24"/>
    </x:row>
    <x:row r="2" ht="38" customHeight="1">
      <x:c r="A2" s="36" t="str">
        <x:v>فرض‌های برنامه زمانبندی | مدیرساخت</x:v>
      </x:c>
      <x:c r="B2" s="24"/>
      <x:c r="C2" s="24"/>
    </x:row>
    <x:row r="3" ht="34" customHeight="1">
      <x:c r="A3" s="24"/>
      <x:c r="B3" s="24"/>
      <x:c r="C3" s="24"/>
    </x:row>
    <x:row r="4" ht="34" customHeight="1">
      <x:c r="A4" s="24"/>
      <x:c r="B4" s="24"/>
      <x:c r="C4" s="24"/>
    </x:row>
    <x:row r="5" ht="40" customHeight="1">
      <x:c r="A5" s="40" t="str">
        <x:v>پارامتر</x:v>
      </x:c>
      <x:c r="B5" s="40" t="str">
        <x:v>مقدار قابل ویرایش</x:v>
      </x:c>
      <x:c r="C5" s="40" t="str">
        <x:v>توضیح</x:v>
      </x:c>
    </x:row>
    <x:row r="6" ht="55" customHeight="1">
      <x:c r="A6" s="46" t="str">
        <x:v>کد پروژه</x:v>
      </x:c>
      <x:c r="B6" s="29" t="str">
        <x:v>MS-DEMO-01</x:v>
      </x:c>
      <x:c r="C6" s="46" t="str">
        <x:v>مثال آموزشی ساختمان چهارطبقه بدون زیرزمین</x:v>
      </x:c>
    </x:row>
    <x:row r="7" ht="55" customHeight="1">
      <x:c r="A7" s="46" t="str">
        <x:v>شروع پروژه</x:v>
      </x:c>
      <x:c r="B7" s="32" t="n">
        <x:v>46298</x:v>
      </x:c>
      <x:c r="C7" s="46" t="str">
        <x:v>شروع برنامه اولیه؛ تاریخ واقعی اکسل با نمایش میلادی</x:v>
      </x:c>
    </x:row>
    <x:row r="8" ht="55" customHeight="1">
      <x:c r="A8" s="46" t="str">
        <x:v>تاریخ وضعیت</x:v>
      </x:c>
      <x:c r="B8" s="32" t="n">
        <x:v>46334</x:v>
      </x:c>
      <x:c r="C8" s="46" t="str">
        <x:v>کار باقیمانده از روز کاری بعد از این تاریخ شمرده می‌شود.</x:v>
      </x:c>
    </x:row>
    <x:row r="9" ht="55" customHeight="1">
      <x:c r="A9" s="46" t="str">
        <x:v>کد تعطیلی هفتگی</x:v>
      </x:c>
      <x:c r="B9" s="29" t="n">
        <x:v>16</x:v>
      </x:c>
      <x:c r="C9" s="46" t="str">
        <x:v>16 = فقط جمعه؛ 7 = جمعه و شنبه؛ طبق راهنمای WORKDAY.INTL</x:v>
      </x:c>
    </x:row>
    <x:row r="10" ht="40" customHeight="1">
      <x:c r="A10" s="40" t="str">
        <x:v>تعطیلی نمونه</x:v>
      </x:c>
      <x:c r="B10" s="40" t="str">
        <x:v>تاریخ</x:v>
      </x:c>
      <x:c r="C10" s="40" t="str">
        <x:v>شرح</x:v>
      </x:c>
    </x:row>
    <x:row r="11" ht="55" customHeight="1">
      <x:c r="A11" s="46" t="str">
        <x:v>یک روز فرضی</x:v>
      </x:c>
      <x:c r="B11" s="32" t="n">
        <x:v>46307</x:v>
      </x:c>
      <x:c r="C11" s="46" t="str">
        <x:v>2026-10-12 فقط تعطیلی فرضی آموزشی است، نه تعطیلی رسمی.</x:v>
      </x:c>
    </x:row>
    <x:row r="12" ht="34" customHeight="1">
      <x:c r="A12" s="24"/>
      <x:c r="B12" s="24"/>
      <x:c r="C12" s="24"/>
    </x:row>
    <x:row r="13" ht="60" customHeight="1">
      <x:c r="A13" s="46" t="str">
        <x:v>مدت فعالیت</x:v>
      </x:c>
      <x:c r="B13" s="46" t="str">
        <x:v>روز کاری</x:v>
      </x:c>
      <x:c r="C13" s="46" t="str">
        <x:v>مدت‌ها آموزشی‌اند؛ به مقدار کار و ظرفیت واقعی پروژه وابسته‌اند.</x:v>
      </x:c>
    </x:row>
    <x:row r="14" ht="60" customHeight="1">
      <x:c r="A14" s="46" t="str">
        <x:v>روابط</x:v>
      </x:c>
      <x:c r="B14" s="46" t="str">
        <x:v>FS بدون وقفه</x:v>
      </x:c>
      <x:c r="C14" s="46" t="str">
        <x:v>جانشین روز کاری بعد از پایان پیش‌نیاز؛ پیش‌نیازها باید در ردیف‌های بالاتر باشند.</x:v>
      </x:c>
    </x:row>
    <x:row r="15" ht="60" customHeight="1">
      <x:c r="A15" s="46" t="str">
        <x:v>برنامه مبنا</x:v>
      </x:c>
      <x:c r="B15" s="46" t="str">
        <x:v>ستون‌های L و M</x:v>
      </x:c>
      <x:c r="C15" s="46" t="str">
        <x:v>این مقدارها نسخه اولیه‌اند؛ فرمول‌های پیش‌بینی آن‌ها را تغییر نمی‌دهند.</x:v>
      </x:c>
    </x:row>
    <x:row r="16" ht="60" customHeight="1">
      <x:c r="A16" s="46" t="str">
        <x:v>محدوده گانت</x:v>
      </x:c>
      <x:c r="B16" s="46" t="str">
        <x:v>۲۵ هفته</x:v>
      </x:c>
      <x:c r="C16" s="46" t="str">
        <x:v>هر خانه رنگی یعنی هم‌پوشانی با هفته؛ برای بازه طولانی‌تر ستون‌ها را توسعه دهید.</x:v>
      </x:c>
    </x:row>
    <x:row r="17" ht="60" customHeight="1">
      <x:c r="A17" s="46" t="str">
        <x:v>توسعه فایل</x:v>
      </x:c>
      <x:c r="B17" s="46" t="str">
        <x:v>نیازمند توسعه فرمول‌ها</x:v>
      </x:c>
      <x:c r="C17" s="46" t="str">
        <x:v>برای افزودن ردیف یا تعطیلی، محدوده‌های ارجاع و گانت نیز توسعه داده شوند.</x:v>
      </x:c>
    </x:row>
    <x:row r="18" ht="34" customHeight="1">
      <x:c r="A18" s="24"/>
      <x:c r="B18" s="24"/>
      <x:c r="C18" s="24"/>
    </x:row>
    <x:row r="19" ht="28" customHeight="1">
      <x:c r="A19" s="38" t="str">
        <x:v>منبع فرمول / کد تقویم: Microsoft WORKDAY.INTL؛ مدت‌ها و داده‌های این فایل تألیفی و فرضی‌اند.</x:v>
      </x:c>
      <x:c r="B19" s="24"/>
      <x:c r="C19" s="24"/>
    </x:row>
    <x:row r="20" ht="28" customHeight="1">
      <x:c r="A20" s="26" t="str">
        <x:v>https://support.microsoft.com/en-us/excel/functions/workday-intl-function</x:v>
      </x:c>
      <x:c r="B20" s="24"/>
      <x:c r="C20" s="24"/>
    </x:row>
    <x:row r="21" ht="28" customHeight="1">
      <x:c r="A21" s="38" t="str">
        <x:v>مرجع نگهداری مبنا: https://support.microsoft.com/en-us/project/create-or-update-a-baseline-or-an-interim-plan-in-project-desktop</x:v>
      </x:c>
      <x:c r="B21" s="24"/>
      <x:c r="C21" s="24"/>
    </x:row>
    <x:row r="22" ht="34" customHeight="1">
      <x:c r="A22" s="24"/>
      <x:c r="B22" s="24"/>
      <x:c r="C22" s="2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4B35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3.1299991607666" hidden="0" customWidth="1"/>
    <x:col min="2" max="2" width="33.75" hidden="0" customWidth="1"/>
    <x:col min="3" max="3" width="14.380000114440918" hidden="0" customWidth="1"/>
    <x:col min="4" max="4" width="14.380000114440918" hidden="0" customWidth="1"/>
    <x:col min="5" max="5" width="15.630000114440918" hidden="0" customWidth="1"/>
    <x:col min="6" max="6" width="10.630000114440918" hidden="0" customWidth="1"/>
    <x:col min="7" max="7" width="10.630000114440918" hidden="0" customWidth="1"/>
    <x:col min="8" max="8" width="10.630000114440918" hidden="0" customWidth="1"/>
    <x:col min="9" max="9" width="10.630000114440918" hidden="0" customWidth="1"/>
    <x:col min="10" max="10" width="10.630000114440918" hidden="0" customWidth="1"/>
    <x:col min="11" max="11" width="10.630000114440918" hidden="0" customWidth="1"/>
    <x:col min="12" max="12" width="10.630000114440918" hidden="0" customWidth="1"/>
    <x:col min="13" max="13" width="10.630000114440918" hidden="0" customWidth="1"/>
    <x:col min="14" max="14" width="10.630000114440918" hidden="0" customWidth="1"/>
    <x:col min="15" max="15" width="10.630000114440918" hidden="0" customWidth="1"/>
    <x:col min="16" max="16" width="10.630000114440918" hidden="0" customWidth="1"/>
    <x:col min="17" max="17" width="10.630000114440918" hidden="0" customWidth="1"/>
    <x:col min="18" max="18" width="10.630000114440918" hidden="0" customWidth="1"/>
    <x:col min="19" max="19" width="10.630000114440918" hidden="0" customWidth="1"/>
    <x:col min="20" max="20" width="10.630000114440918" hidden="0" customWidth="1"/>
    <x:col min="21" max="21" width="10.630000114440918" hidden="0" customWidth="1"/>
    <x:col min="22" max="22" width="10.630000114440918" hidden="0" customWidth="1"/>
    <x:col min="23" max="23" width="10.630000114440918" hidden="0" customWidth="1"/>
    <x:col min="24" max="24" width="10.630000114440918" hidden="0" customWidth="1"/>
    <x:col min="25" max="25" width="10.630000114440918" hidden="0" customWidth="1"/>
    <x:col min="26" max="26" width="10.630000114440918" hidden="0" customWidth="1"/>
    <x:col min="27" max="27" width="10.630000114440918" hidden="0" customWidth="1"/>
    <x:col min="28" max="28" width="10.630000114440918" hidden="0" customWidth="1"/>
    <x:col min="29" max="29" width="10.630000114440918" hidden="0" customWidth="1"/>
    <x:col min="30" max="30" width="10.630000114440918" hidden="0" customWidth="1"/>
  </x:cols>
  <x:sheetData>
    <x:row r="1" ht="34" customHeight="1">
      <x:c r="A1" s="24"/>
      <x:c r="B1" s="24"/>
      <x:c r="C1" s="24"/>
      <x:c r="D1" s="24"/>
      <x:c r="E1" s="24"/>
      <x:c r="F1" s="24"/>
      <x:c r="G1" s="24"/>
      <x:c r="H1" s="24"/>
      <x:c r="I1" s="24"/>
      <x:c r="J1" s="24"/>
      <x:c r="K1" s="24"/>
      <x:c r="L1" s="24"/>
      <x:c r="M1" s="24"/>
      <x:c r="N1" s="24"/>
      <x:c r="O1" s="24"/>
      <x:c r="P1" s="24"/>
      <x:c r="Q1" s="24"/>
      <x:c r="R1" s="24"/>
      <x:c r="S1" s="24"/>
      <x:c r="T1" s="24"/>
      <x:c r="U1" s="24"/>
      <x:c r="V1" s="24"/>
      <x:c r="W1" s="24"/>
      <x:c r="X1" s="24"/>
      <x:c r="Y1" s="24"/>
      <x:c r="Z1" s="24"/>
      <x:c r="AA1" s="24"/>
      <x:c r="AB1" s="24"/>
      <x:c r="AC1" s="24"/>
      <x:c r="AD1" s="24"/>
    </x:row>
    <x:row r="2" ht="38" customHeight="1">
      <x:c r="A2" s="36" t="str">
        <x:v>گانت هفتگی پیش‌بینی جاری | مدیرساخت</x:v>
      </x:c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  <x:c r="M2" s="24"/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  <x:c r="AA2" s="24"/>
      <x:c r="AB2" s="24"/>
      <x:c r="AC2" s="24"/>
      <x:c r="AD2" s="24"/>
    </x:row>
    <x:row r="3" ht="28" customHeight="1">
      <x:c r="A3" s="38" t="str">
        <x:v>سبز = بازه فعالیت با هفته هم‌پوشانی دارد؛ عرض رنگ درصد پیشرفت یا تعداد دقیق روز نیست.</x:v>
      </x:c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  <x:c r="AA3" s="24"/>
      <x:c r="AB3" s="24"/>
      <x:c r="AC3" s="24"/>
      <x:c r="AD3" s="24"/>
    </x:row>
    <x:row r="4" ht="28" customHeight="1">
      <x:c r="A4" s="38" t="str">
        <x:v>تاریخ دقیق در ستون شروع و پایان؛ این نمایش مسیر بحرانی را مشخص نمی‌کند.</x:v>
      </x:c>
      <x:c r="B4" s="24"/>
      <x:c r="C4" s="24"/>
      <x:c r="D4" s="24"/>
      <x:c r="E4" s="24"/>
      <x:c r="F4" s="24"/>
      <x:c r="G4" s="24"/>
      <x:c r="H4" s="24"/>
      <x:c r="I4" s="24"/>
      <x:c r="J4" s="24"/>
      <x:c r="K4" s="24"/>
      <x:c r="L4" s="24"/>
      <x:c r="M4" s="24"/>
      <x:c r="N4" s="24"/>
      <x:c r="O4" s="24"/>
      <x:c r="P4" s="24"/>
      <x:c r="Q4" s="24"/>
      <x:c r="R4" s="24"/>
      <x:c r="S4" s="24"/>
      <x:c r="T4" s="24"/>
      <x:c r="U4" s="24"/>
      <x:c r="V4" s="24"/>
      <x:c r="W4" s="24"/>
      <x:c r="X4" s="24"/>
      <x:c r="Y4" s="24"/>
      <x:c r="Z4" s="24"/>
      <x:c r="AA4" s="24"/>
      <x:c r="AB4" s="24"/>
      <x:c r="AC4" s="24"/>
      <x:c r="AD4" s="24"/>
    </x:row>
    <x:row r="5" ht="34" customHeight="1">
      <x:c r="A5" s="24"/>
      <x:c r="B5" s="24"/>
      <x:c r="C5" s="24"/>
      <x:c r="D5" s="24"/>
      <x:c r="E5" s="24"/>
      <x:c r="F5" s="24"/>
      <x:c r="G5" s="24"/>
      <x:c r="H5" s="24"/>
      <x:c r="I5" s="24"/>
      <x:c r="J5" s="24"/>
      <x:c r="K5" s="24"/>
      <x:c r="L5" s="24"/>
      <x:c r="M5" s="24"/>
      <x:c r="N5" s="24"/>
      <x:c r="O5" s="24"/>
      <x:c r="P5" s="24"/>
      <x:c r="Q5" s="24"/>
      <x:c r="R5" s="24"/>
      <x:c r="S5" s="24"/>
      <x:c r="T5" s="24"/>
      <x:c r="U5" s="24"/>
      <x:c r="V5" s="24"/>
      <x:c r="W5" s="24"/>
      <x:c r="X5" s="24"/>
      <x:c r="Y5" s="24"/>
      <x:c r="Z5" s="24"/>
      <x:c r="AA5" s="24"/>
      <x:c r="AB5" s="24"/>
      <x:c r="AC5" s="24"/>
      <x:c r="AD5" s="24"/>
    </x:row>
    <x:row r="6" ht="34" customHeight="1">
      <x:c r="A6" s="24"/>
      <x:c r="B6" s="24"/>
      <x:c r="C6" s="24"/>
      <x:c r="D6" s="24"/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24"/>
      <x:c r="S6" s="24"/>
      <x:c r="T6" s="24"/>
      <x:c r="U6" s="24"/>
      <x:c r="V6" s="24"/>
      <x:c r="W6" s="24"/>
      <x:c r="X6" s="24"/>
      <x:c r="Y6" s="24"/>
      <x:c r="Z6" s="24"/>
      <x:c r="AA6" s="24"/>
      <x:c r="AB6" s="24"/>
      <x:c r="AC6" s="24"/>
      <x:c r="AD6" s="24"/>
    </x:row>
    <x:row r="7" ht="40" customHeight="1">
      <x:c r="A7" s="40" t="str">
        <x:v>شناسه</x:v>
      </x:c>
      <x:c r="B7" s="40" t="str">
        <x:v>فعالیت</x:v>
      </x:c>
      <x:c r="C7" s="40" t="str">
        <x:v>شروع جاری</x:v>
      </x:c>
      <x:c r="D7" s="40" t="str">
        <x:v>پایان جاری</x:v>
      </x:c>
      <x:c r="E7" s="40" t="str">
        <x:v>وضعیت</x:v>
      </x:c>
      <x:c r="F7" s="47" t="n">
        <x:f>Assumptions!$B$7+0</x:f>
        <x:v>46298</x:v>
      </x:c>
      <x:c r="G7" s="47" t="n">
        <x:f>Assumptions!$B$7+7</x:f>
        <x:v>46305</x:v>
      </x:c>
      <x:c r="H7" s="47" t="n">
        <x:f>Assumptions!$B$7+14</x:f>
        <x:v>46312</x:v>
      </x:c>
      <x:c r="I7" s="47" t="n">
        <x:f>Assumptions!$B$7+21</x:f>
        <x:v>46319</x:v>
      </x:c>
      <x:c r="J7" s="47" t="n">
        <x:f>Assumptions!$B$7+28</x:f>
        <x:v>46326</x:v>
      </x:c>
      <x:c r="K7" s="47" t="n">
        <x:f>Assumptions!$B$7+35</x:f>
        <x:v>46333</x:v>
      </x:c>
      <x:c r="L7" s="47" t="n">
        <x:f>Assumptions!$B$7+42</x:f>
        <x:v>46340</x:v>
      </x:c>
      <x:c r="M7" s="47" t="n">
        <x:f>Assumptions!$B$7+49</x:f>
        <x:v>46347</x:v>
      </x:c>
      <x:c r="N7" s="47" t="n">
        <x:f>Assumptions!$B$7+56</x:f>
        <x:v>46354</x:v>
      </x:c>
      <x:c r="O7" s="47" t="n">
        <x:f>Assumptions!$B$7+63</x:f>
        <x:v>46361</x:v>
      </x:c>
      <x:c r="P7" s="47" t="n">
        <x:f>Assumptions!$B$7+70</x:f>
        <x:v>46368</x:v>
      </x:c>
      <x:c r="Q7" s="47" t="n">
        <x:f>Assumptions!$B$7+77</x:f>
        <x:v>46375</x:v>
      </x:c>
      <x:c r="R7" s="47" t="n">
        <x:f>Assumptions!$B$7+84</x:f>
        <x:v>46382</x:v>
      </x:c>
      <x:c r="S7" s="47" t="n">
        <x:f>Assumptions!$B$7+91</x:f>
        <x:v>46389</x:v>
      </x:c>
      <x:c r="T7" s="47" t="n">
        <x:f>Assumptions!$B$7+98</x:f>
        <x:v>46396</x:v>
      </x:c>
      <x:c r="U7" s="47" t="n">
        <x:f>Assumptions!$B$7+105</x:f>
        <x:v>46403</x:v>
      </x:c>
      <x:c r="V7" s="47" t="n">
        <x:f>Assumptions!$B$7+112</x:f>
        <x:v>46410</x:v>
      </x:c>
      <x:c r="W7" s="47" t="n">
        <x:f>Assumptions!$B$7+119</x:f>
        <x:v>46417</x:v>
      </x:c>
      <x:c r="X7" s="47" t="n">
        <x:f>Assumptions!$B$7+126</x:f>
        <x:v>46424</x:v>
      </x:c>
      <x:c r="Y7" s="47" t="n">
        <x:f>Assumptions!$B$7+133</x:f>
        <x:v>46431</x:v>
      </x:c>
      <x:c r="Z7" s="47" t="n">
        <x:f>Assumptions!$B$7+140</x:f>
        <x:v>46438</x:v>
      </x:c>
      <x:c r="AA7" s="47" t="n">
        <x:f>Assumptions!$B$7+147</x:f>
        <x:v>46445</x:v>
      </x:c>
      <x:c r="AB7" s="47" t="n">
        <x:f>Assumptions!$B$7+154</x:f>
        <x:v>46452</x:v>
      </x:c>
      <x:c r="AC7" s="47" t="n">
        <x:f>Assumptions!$B$7+161</x:f>
        <x:v>46459</x:v>
      </x:c>
      <x:c r="AD7" s="47" t="n">
        <x:f>Assumptions!$B$7+168</x:f>
        <x:v>46466</x:v>
      </x:c>
    </x:row>
    <x:row r="8" ht="45" customHeight="1">
      <x:c r="A8" s="24" t="str">
        <x:f>Activities!B9</x:f>
        <x:v>ACT-1.1.1-01</x:v>
      </x:c>
      <x:c r="B8" s="46" t="str">
        <x:f>Activities!D9</x:f>
        <x:v>حصار موقت و مسیر دسترسی</x:v>
      </x:c>
      <x:c r="C8" s="48" t="n">
        <x:f>Activities!Q9</x:f>
        <x:v>46298</x:v>
      </x:c>
      <x:c r="D8" s="48" t="n">
        <x:f>Activities!R9</x:f>
        <x:v>46299</x:v>
      </x:c>
      <x:c r="E8" s="46" t="str">
        <x:f>Activities!T9</x:f>
        <x:v>تمام‌شده</x:v>
      </x:c>
      <x:c r="F8" s="49"/>
      <x:c r="G8" s="49"/>
      <x:c r="H8" s="49"/>
      <x:c r="I8" s="49"/>
      <x:c r="J8" s="49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  <x:c r="AA8" s="49"/>
      <x:c r="AB8" s="49"/>
      <x:c r="AC8" s="49"/>
      <x:c r="AD8" s="49"/>
    </x:row>
    <x:row r="9" ht="45" customHeight="1">
      <x:c r="A9" s="24" t="str">
        <x:f>Activities!B10</x:f>
        <x:v>ACT-1.1.2-01</x:v>
      </x:c>
      <x:c r="B9" s="46" t="str">
        <x:f>Activities!D10</x:f>
        <x:v>دفتر و انشعاب‌های موقت</x:v>
      </x:c>
      <x:c r="C9" s="48" t="n">
        <x:f>Activities!Q10</x:f>
        <x:v>46300</x:v>
      </x:c>
      <x:c r="D9" s="48" t="n">
        <x:f>Activities!R10</x:f>
        <x:v>46301</x:v>
      </x:c>
      <x:c r="E9" s="46" t="str">
        <x:f>Activities!T10</x:f>
        <x:v>تمام‌شده</x:v>
      </x:c>
      <x:c r="F9" s="49"/>
      <x:c r="G9" s="49"/>
      <x:c r="H9" s="49"/>
      <x:c r="I9" s="49"/>
      <x:c r="J9" s="49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  <x:c r="AA9" s="49"/>
      <x:c r="AB9" s="49"/>
      <x:c r="AC9" s="49"/>
      <x:c r="AD9" s="49"/>
    </x:row>
    <x:row r="10" ht="45" customHeight="1">
      <x:c r="A10" s="24" t="str">
        <x:f>Activities!B11</x:f>
        <x:v>ACT-1.1.3-01</x:v>
      </x:c>
      <x:c r="B10" s="46" t="str">
        <x:f>Activities!D11</x:f>
        <x:v>انبار و محل دپوی مصالح</x:v>
      </x:c>
      <x:c r="C10" s="48" t="n">
        <x:f>Activities!Q11</x:f>
        <x:v>46300</x:v>
      </x:c>
      <x:c r="D10" s="48" t="n">
        <x:f>Activities!R11</x:f>
        <x:v>46300</x:v>
      </x:c>
      <x:c r="E10" s="46" t="str">
        <x:f>Activities!T11</x:f>
        <x:v>تمام‌شده</x:v>
      </x:c>
      <x:c r="F10" s="49"/>
      <x:c r="G10" s="49"/>
      <x:c r="H10" s="49"/>
      <x:c r="I10" s="49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  <x:c r="AA10" s="49"/>
      <x:c r="AB10" s="49"/>
      <x:c r="AC10" s="49"/>
      <x:c r="AD10" s="49"/>
    </x:row>
    <x:row r="11" ht="45" customHeight="1">
      <x:c r="A11" s="24" t="str">
        <x:f>Activities!B12</x:f>
        <x:v>ACT-1.2.1-01</x:v>
      </x:c>
      <x:c r="B11" s="46" t="str">
        <x:f>Activities!D12</x:f>
        <x:v>آماده‌سازی زمین و بستر</x:v>
      </x:c>
      <x:c r="C11" s="48" t="n">
        <x:f>Activities!Q12</x:f>
        <x:v>46302</x:v>
      </x:c>
      <x:c r="D11" s="48" t="n">
        <x:f>Activities!R12</x:f>
        <x:v>46308</x:v>
      </x:c>
      <x:c r="E11" s="46" t="str">
        <x:f>Activities!T12</x:f>
        <x:v>تمام‌شده</x:v>
      </x:c>
      <x:c r="F11" s="49"/>
      <x:c r="G11" s="49"/>
      <x:c r="H11" s="49"/>
      <x:c r="I11" s="49"/>
      <x:c r="J11" s="49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  <x:c r="AA11" s="49"/>
      <x:c r="AB11" s="49"/>
      <x:c r="AC11" s="49"/>
      <x:c r="AD11" s="49"/>
    </x:row>
    <x:row r="12" ht="45" customHeight="1">
      <x:c r="A12" s="24" t="str">
        <x:f>Activities!B13</x:f>
        <x:v>ACT-1.2.2-01</x:v>
      </x:c>
      <x:c r="B12" s="46" t="str">
        <x:f>Activities!D13</x:f>
        <x:v>اجرای بتن مگر</x:v>
      </x:c>
      <x:c r="C12" s="48" t="n">
        <x:f>Activities!Q13</x:f>
        <x:v>46309</x:v>
      </x:c>
      <x:c r="D12" s="48" t="n">
        <x:f>Activities!R13</x:f>
        <x:v>46309</x:v>
      </x:c>
      <x:c r="E12" s="46" t="str">
        <x:f>Activities!T13</x:f>
        <x:v>تمام‌شده</x:v>
      </x:c>
      <x:c r="F12" s="49"/>
      <x:c r="G12" s="49"/>
      <x:c r="H12" s="49"/>
      <x:c r="I12" s="49"/>
      <x:c r="J12" s="49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  <x:c r="AA12" s="49"/>
      <x:c r="AB12" s="49"/>
      <x:c r="AC12" s="49"/>
      <x:c r="AD12" s="49"/>
    </x:row>
    <x:row r="13" ht="45" customHeight="1">
      <x:c r="A13" s="24" t="str">
        <x:f>Activities!B14</x:f>
        <x:v>ACT-1.2.3-01</x:v>
      </x:c>
      <x:c r="B13" s="46" t="str">
        <x:f>Activities!D14</x:f>
        <x:v>اجرای فونداسیون و کنترل پایان</x:v>
      </x:c>
      <x:c r="C13" s="48" t="n">
        <x:f>Activities!Q14</x:f>
        <x:v>46310</x:v>
      </x:c>
      <x:c r="D13" s="48" t="n">
        <x:f>Activities!R14</x:f>
        <x:v>46319</x:v>
      </x:c>
      <x:c r="E13" s="46" t="str">
        <x:f>Activities!T14</x:f>
        <x:v>تمام‌شده</x:v>
      </x:c>
      <x:c r="F13" s="49"/>
      <x:c r="G13" s="49"/>
      <x:c r="H13" s="49"/>
      <x:c r="I13" s="49"/>
      <x:c r="J13" s="49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  <x:c r="AA13" s="49"/>
      <x:c r="AB13" s="49"/>
      <x:c r="AC13" s="49"/>
      <x:c r="AD13" s="49"/>
    </x:row>
    <x:row r="14" ht="45" customHeight="1">
      <x:c r="A14" s="24" t="str">
        <x:f>Activities!B15</x:f>
        <x:v>ACT-1.2.4-01</x:v>
      </x:c>
      <x:c r="B14" s="46" t="str">
        <x:f>Activities!D15</x:f>
        <x:v>عایق فونداسیون و خاک‌ریزی</x:v>
      </x:c>
      <x:c r="C14" s="48" t="n">
        <x:f>Activities!Q15</x:f>
        <x:v>46320</x:v>
      </x:c>
      <x:c r="D14" s="48" t="n">
        <x:f>Activities!R15</x:f>
        <x:v>46322</x:v>
      </x:c>
      <x:c r="E14" s="46" t="str">
        <x:f>Activities!T15</x:f>
        <x:v>تمام‌شده</x:v>
      </x:c>
      <x:c r="F14" s="49"/>
      <x:c r="G14" s="49"/>
      <x:c r="H14" s="49"/>
      <x:c r="I14" s="49"/>
      <x:c r="J14" s="49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  <x:c r="AA14" s="49"/>
      <x:c r="AB14" s="49"/>
      <x:c r="AC14" s="49"/>
      <x:c r="AD14" s="49"/>
    </x:row>
    <x:row r="15" ht="45" customHeight="1">
      <x:c r="A15" s="24" t="str">
        <x:f>Activities!B16</x:f>
        <x:v>ACT-1.3.1-01</x:v>
      </x:c>
      <x:c r="B15" s="46" t="str">
        <x:f>Activities!D16</x:f>
        <x:v>اجزای قائم اسکلت طبقه ۱</x:v>
      </x:c>
      <x:c r="C15" s="48" t="n">
        <x:f>Activities!Q16</x:f>
        <x:v>46320</x:v>
      </x:c>
      <x:c r="D15" s="48" t="n">
        <x:f>Activities!R16</x:f>
        <x:v>46322</x:v>
      </x:c>
      <x:c r="E15" s="46" t="str">
        <x:f>Activities!T16</x:f>
        <x:v>تمام‌شده</x:v>
      </x:c>
      <x:c r="F15" s="49"/>
      <x:c r="G15" s="49"/>
      <x:c r="H15" s="49"/>
      <x:c r="I15" s="49"/>
      <x:c r="J15" s="49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  <x:c r="AA15" s="49"/>
      <x:c r="AB15" s="49"/>
      <x:c r="AC15" s="49"/>
      <x:c r="AD15" s="49"/>
    </x:row>
    <x:row r="16" ht="45" customHeight="1">
      <x:c r="A16" s="24" t="str">
        <x:f>Activities!B17</x:f>
        <x:v>ACT-1.3.1-02</x:v>
      </x:c>
      <x:c r="B16" s="46" t="str">
        <x:f>Activities!D17</x:f>
        <x:v>سقف طبقه ۱ و کنترل پایان</x:v>
      </x:c>
      <x:c r="C16" s="48" t="n">
        <x:f>Activities!Q17</x:f>
        <x:v>46323</x:v>
      </x:c>
      <x:c r="D16" s="48" t="n">
        <x:f>Activities!R17</x:f>
        <x:v>46328</x:v>
      </x:c>
      <x:c r="E16" s="46" t="str">
        <x:f>Activities!T17</x:f>
        <x:v>تمام‌شده</x:v>
      </x:c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  <x:c r="AA16" s="49"/>
      <x:c r="AB16" s="49"/>
      <x:c r="AC16" s="49"/>
      <x:c r="AD16" s="49"/>
    </x:row>
    <x:row r="17" ht="45" customHeight="1">
      <x:c r="A17" s="24" t="str">
        <x:f>Activities!B18</x:f>
        <x:v>ACT-1.3.2-01</x:v>
      </x:c>
      <x:c r="B17" s="46" t="str">
        <x:f>Activities!D18</x:f>
        <x:v>اجزای قائم اسکلت طبقه ۲</x:v>
      </x:c>
      <x:c r="C17" s="48" t="n">
        <x:f>Activities!Q18</x:f>
        <x:v>46329</x:v>
      </x:c>
      <x:c r="D17" s="48" t="n">
        <x:f>Activities!R18</x:f>
        <x:v>46331</x:v>
      </x:c>
      <x:c r="E17" s="46" t="str">
        <x:f>Activities!T18</x:f>
        <x:v>تمام‌شده</x:v>
      </x:c>
      <x:c r="F17" s="49"/>
      <x:c r="G17" s="49"/>
      <x:c r="H17" s="49"/>
      <x:c r="I17" s="49"/>
      <x:c r="J17" s="49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  <x:c r="AA17" s="49"/>
      <x:c r="AB17" s="49"/>
      <x:c r="AC17" s="49"/>
      <x:c r="AD17" s="49"/>
    </x:row>
    <x:row r="18" ht="45" customHeight="1">
      <x:c r="A18" s="24" t="str">
        <x:f>Activities!B19</x:f>
        <x:v>ACT-1.3.2-02</x:v>
      </x:c>
      <x:c r="B18" s="46" t="str">
        <x:f>Activities!D19</x:f>
        <x:v>سقف طبقه ۲ و کنترل پایان</x:v>
      </x:c>
      <x:c r="C18" s="48" t="n">
        <x:f>Activities!Q19</x:f>
        <x:v>46333</x:v>
      </x:c>
      <x:c r="D18" s="48" t="n">
        <x:f>Activities!R19</x:f>
        <x:v>46340</x:v>
      </x:c>
      <x:c r="E18" s="46" t="str">
        <x:f>Activities!T19</x:f>
        <x:v>در حال اجرا</x:v>
      </x:c>
      <x:c r="F18" s="49"/>
      <x:c r="G18" s="49"/>
      <x:c r="H18" s="49"/>
      <x:c r="I18" s="49"/>
      <x:c r="J18" s="49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  <x:c r="AA18" s="49"/>
      <x:c r="AB18" s="49"/>
      <x:c r="AC18" s="49"/>
      <x:c r="AD18" s="49"/>
    </x:row>
    <x:row r="19" ht="45" customHeight="1">
      <x:c r="A19" s="24" t="str">
        <x:f>Activities!B20</x:f>
        <x:v>ACT-1.3.3-01</x:v>
      </x:c>
      <x:c r="B19" s="46" t="str">
        <x:f>Activities!D20</x:f>
        <x:v>اجزای قائم اسکلت طبقه ۳</x:v>
      </x:c>
      <x:c r="C19" s="48" t="n">
        <x:f>Activities!Q20</x:f>
        <x:v>46341</x:v>
      </x:c>
      <x:c r="D19" s="48" t="n">
        <x:f>Activities!R20</x:f>
        <x:v>46343</x:v>
      </x:c>
      <x:c r="E19" s="46" t="str">
        <x:f>Activities!T20</x:f>
        <x:v>شروع‌نشده</x:v>
      </x:c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  <x:c r="AA19" s="49"/>
      <x:c r="AB19" s="49"/>
      <x:c r="AC19" s="49"/>
      <x:c r="AD19" s="49"/>
    </x:row>
    <x:row r="20" ht="45" customHeight="1">
      <x:c r="A20" s="24" t="str">
        <x:f>Activities!B21</x:f>
        <x:v>ACT-1.3.3-02</x:v>
      </x:c>
      <x:c r="B20" s="46" t="str">
        <x:f>Activities!D21</x:f>
        <x:v>سقف طبقه ۳ و کنترل پایان</x:v>
      </x:c>
      <x:c r="C20" s="48" t="n">
        <x:f>Activities!Q21</x:f>
        <x:v>46344</x:v>
      </x:c>
      <x:c r="D20" s="48" t="n">
        <x:f>Activities!R21</x:f>
        <x:v>46349</x:v>
      </x:c>
      <x:c r="E20" s="46" t="str">
        <x:f>Activities!T21</x:f>
        <x:v>شروع‌نشده</x:v>
      </x:c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  <x:c r="AA20" s="49"/>
      <x:c r="AB20" s="49"/>
      <x:c r="AC20" s="49"/>
      <x:c r="AD20" s="49"/>
    </x:row>
    <x:row r="21" ht="45" customHeight="1">
      <x:c r="A21" s="24" t="str">
        <x:f>Activities!B22</x:f>
        <x:v>ACT-1.3.4-01</x:v>
      </x:c>
      <x:c r="B21" s="46" t="str">
        <x:f>Activities!D22</x:f>
        <x:v>اجزای قائم اسکلت طبقه ۴</x:v>
      </x:c>
      <x:c r="C21" s="48" t="n">
        <x:f>Activities!Q22</x:f>
        <x:v>46350</x:v>
      </x:c>
      <x:c r="D21" s="48" t="n">
        <x:f>Activities!R22</x:f>
        <x:v>46352</x:v>
      </x:c>
      <x:c r="E21" s="46" t="str">
        <x:f>Activities!T22</x:f>
        <x:v>شروع‌نشده</x:v>
      </x:c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  <x:c r="AA21" s="49"/>
      <x:c r="AB21" s="49"/>
      <x:c r="AC21" s="49"/>
      <x:c r="AD21" s="49"/>
    </x:row>
    <x:row r="22" ht="45" customHeight="1">
      <x:c r="A22" s="24" t="str">
        <x:f>Activities!B23</x:f>
        <x:v>ACT-1.3.4-02</x:v>
      </x:c>
      <x:c r="B22" s="46" t="str">
        <x:f>Activities!D23</x:f>
        <x:v>سقف طبقه ۴ و کنترل پایان</x:v>
      </x:c>
      <x:c r="C22" s="48" t="n">
        <x:f>Activities!Q23</x:f>
        <x:v>46354</x:v>
      </x:c>
      <x:c r="D22" s="48" t="n">
        <x:f>Activities!R23</x:f>
        <x:v>46358</x:v>
      </x:c>
      <x:c r="E22" s="46" t="str">
        <x:f>Activities!T23</x:f>
        <x:v>شروع‌نشده</x:v>
      </x:c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  <x:c r="AA22" s="49"/>
      <x:c r="AB22" s="49"/>
      <x:c r="AC22" s="49"/>
      <x:c r="AD22" s="49"/>
    </x:row>
    <x:row r="23" ht="45" customHeight="1">
      <x:c r="A23" s="24" t="str">
        <x:f>Activities!B24</x:f>
        <x:v>ACT-1.4-01</x:v>
      </x:c>
      <x:c r="B23" s="46" t="str">
        <x:f>Activities!D24</x:f>
        <x:v>دیوارچینی طبقات ۱ و ۲</x:v>
      </x:c>
      <x:c r="C23" s="48" t="n">
        <x:f>Activities!Q24</x:f>
        <x:v>46329</x:v>
      </x:c>
      <x:c r="D23" s="48" t="n">
        <x:f>Activities!R24</x:f>
        <x:v>46347</x:v>
      </x:c>
      <x:c r="E23" s="46" t="str">
        <x:f>Activities!T24</x:f>
        <x:v>در حال اجرا</x:v>
      </x:c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  <x:c r="AA23" s="49"/>
      <x:c r="AB23" s="49"/>
      <x:c r="AC23" s="49"/>
      <x:c r="AD23" s="49"/>
    </x:row>
    <x:row r="24" ht="45" customHeight="1">
      <x:c r="A24" s="24" t="str">
        <x:f>Activities!B25</x:f>
        <x:v>ACT-1.4-02</x:v>
      </x:c>
      <x:c r="B24" s="46" t="str">
        <x:f>Activities!D25</x:f>
        <x:v>دیوارچینی طبقات ۳ و ۴</x:v>
      </x:c>
      <x:c r="C24" s="48" t="n">
        <x:f>Activities!Q25</x:f>
        <x:v>46359</x:v>
      </x:c>
      <x:c r="D24" s="48" t="n">
        <x:f>Activities!R25</x:f>
        <x:v>46368</x:v>
      </x:c>
      <x:c r="E24" s="46" t="str">
        <x:f>Activities!T25</x:f>
        <x:v>شروع‌نشده</x:v>
      </x:c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  <x:c r="AA24" s="49"/>
      <x:c r="AB24" s="49"/>
      <x:c r="AC24" s="49"/>
      <x:c r="AD24" s="49"/>
    </x:row>
    <x:row r="25" ht="45" customHeight="1">
      <x:c r="A25" s="24" t="str">
        <x:f>Activities!B26</x:f>
        <x:v>ACT-1.5.1-01</x:v>
      </x:c>
      <x:c r="B25" s="46" t="str">
        <x:f>Activities!D26</x:f>
        <x:v>لوله‌کشی آب و فاضلاب</x:v>
      </x:c>
      <x:c r="C25" s="48" t="n">
        <x:f>Activities!Q26</x:f>
        <x:v>46369</x:v>
      </x:c>
      <x:c r="D25" s="48" t="n">
        <x:f>Activities!R26</x:f>
        <x:v>46377</x:v>
      </x:c>
      <x:c r="E25" s="46" t="str">
        <x:f>Activities!T26</x:f>
        <x:v>شروع‌نشده</x:v>
      </x:c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  <x:c r="AA25" s="49"/>
      <x:c r="AB25" s="49"/>
      <x:c r="AC25" s="49"/>
      <x:c r="AD25" s="49"/>
    </x:row>
    <x:row r="26" ht="45" customHeight="1">
      <x:c r="A26" s="24" t="str">
        <x:f>Activities!B27</x:f>
        <x:v>ACT-1.5.2-01</x:v>
      </x:c>
      <x:c r="B26" s="46" t="str">
        <x:f>Activities!D27</x:f>
        <x:v>زیرکار گرمایش و تهویه</x:v>
      </x:c>
      <x:c r="C26" s="48" t="n">
        <x:f>Activities!Q27</x:f>
        <x:v>46369</x:v>
      </x:c>
      <x:c r="D26" s="48" t="n">
        <x:f>Activities!R27</x:f>
        <x:v>46376</x:v>
      </x:c>
      <x:c r="E26" s="46" t="str">
        <x:f>Activities!T27</x:f>
        <x:v>شروع‌نشده</x:v>
      </x:c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  <x:c r="AA26" s="49"/>
      <x:c r="AB26" s="49"/>
      <x:c r="AC26" s="49"/>
      <x:c r="AD26" s="49"/>
    </x:row>
    <x:row r="27" ht="45" customHeight="1">
      <x:c r="A27" s="24" t="str">
        <x:f>Activities!B28</x:f>
        <x:v>ACT-1.5.3-01</x:v>
      </x:c>
      <x:c r="B27" s="46" t="str">
        <x:f>Activities!D28</x:f>
        <x:v>زیرکار برق</x:v>
      </x:c>
      <x:c r="C27" s="48" t="n">
        <x:f>Activities!Q28</x:f>
        <x:v>46369</x:v>
      </x:c>
      <x:c r="D27" s="48" t="n">
        <x:f>Activities!R28</x:f>
        <x:v>46377</x:v>
      </x:c>
      <x:c r="E27" s="46" t="str">
        <x:f>Activities!T28</x:f>
        <x:v>شروع‌نشده</x:v>
      </x:c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  <x:c r="AA27" s="49"/>
      <x:c r="AB27" s="49"/>
      <x:c r="AC27" s="49"/>
      <x:c r="AD27" s="49"/>
    </x:row>
    <x:row r="28" ht="45" customHeight="1">
      <x:c r="A28" s="24" t="str">
        <x:f>Activities!B29</x:f>
        <x:v>ACT-1.6.1-01</x:v>
      </x:c>
      <x:c r="B28" s="46" t="str">
        <x:f>Activities!D29</x:f>
        <x:v>زیرسازی نازک‌کاری</x:v>
      </x:c>
      <x:c r="C28" s="48" t="n">
        <x:f>Activities!Q29</x:f>
        <x:v>46378</x:v>
      </x:c>
      <x:c r="D28" s="48" t="n">
        <x:f>Activities!R29</x:f>
        <x:v>46389</x:v>
      </x:c>
      <x:c r="E28" s="46" t="str">
        <x:f>Activities!T29</x:f>
        <x:v>شروع‌نشده</x:v>
      </x:c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  <x:c r="AA28" s="49"/>
      <x:c r="AB28" s="49"/>
      <x:c r="AC28" s="49"/>
      <x:c r="AD28" s="49"/>
    </x:row>
    <x:row r="29" ht="45" customHeight="1">
      <x:c r="A29" s="24" t="str">
        <x:f>Activities!B30</x:f>
        <x:v>ACT-1.6-01</x:v>
      </x:c>
      <x:c r="B29" s="46" t="str">
        <x:f>Activities!D30</x:f>
        <x:v>نازک‌کاری نهایی طبقات ۱ و ۲</x:v>
      </x:c>
      <x:c r="C29" s="48" t="n">
        <x:f>Activities!Q30</x:f>
        <x:v>46390</x:v>
      </x:c>
      <x:c r="D29" s="48" t="n">
        <x:f>Activities!R30</x:f>
        <x:v>46400</x:v>
      </x:c>
      <x:c r="E29" s="46" t="str">
        <x:f>Activities!T30</x:f>
        <x:v>شروع‌نشده</x:v>
      </x:c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  <x:c r="AA29" s="49"/>
      <x:c r="AB29" s="49"/>
      <x:c r="AC29" s="49"/>
      <x:c r="AD29" s="49"/>
    </x:row>
    <x:row r="30" ht="45" customHeight="1">
      <x:c r="A30" s="24" t="str">
        <x:f>Activities!B31</x:f>
        <x:v>ACT-1.6-02</x:v>
      </x:c>
      <x:c r="B30" s="46" t="str">
        <x:f>Activities!D31</x:f>
        <x:v>نازک‌کاری نهایی طبقات ۳ و ۴</x:v>
      </x:c>
      <x:c r="C30" s="48" t="n">
        <x:f>Activities!Q31</x:f>
        <x:v>46390</x:v>
      </x:c>
      <x:c r="D30" s="48" t="n">
        <x:f>Activities!R31</x:f>
        <x:v>46400</x:v>
      </x:c>
      <x:c r="E30" s="46" t="str">
        <x:f>Activities!T31</x:f>
        <x:v>شروع‌نشده</x:v>
      </x:c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  <x:c r="AA30" s="49"/>
      <x:c r="AB30" s="49"/>
      <x:c r="AC30" s="49"/>
      <x:c r="AD30" s="49"/>
    </x:row>
    <x:row r="31" ht="45" customHeight="1">
      <x:c r="A31" s="24" t="str">
        <x:f>Activities!B32</x:f>
        <x:v>ACT-1.6.6-01</x:v>
      </x:c>
      <x:c r="B31" s="46" t="str">
        <x:f>Activities!D32</x:f>
        <x:v>نصب در و پنجره</x:v>
      </x:c>
      <x:c r="C31" s="48" t="n">
        <x:f>Activities!Q32</x:f>
        <x:v>46390</x:v>
      </x:c>
      <x:c r="D31" s="48" t="n">
        <x:f>Activities!R32</x:f>
        <x:v>46396</x:v>
      </x:c>
      <x:c r="E31" s="46" t="str">
        <x:f>Activities!T32</x:f>
        <x:v>شروع‌نشده</x:v>
      </x:c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  <x:c r="AA31" s="49"/>
      <x:c r="AB31" s="49"/>
      <x:c r="AC31" s="49"/>
      <x:c r="AD31" s="49"/>
    </x:row>
    <x:row r="32" ht="45" customHeight="1">
      <x:c r="A32" s="24" t="str">
        <x:f>Activities!B33</x:f>
        <x:v>ACT-1.6.7-01</x:v>
      </x:c>
      <x:c r="B32" s="46" t="str">
        <x:f>Activities!D33</x:f>
        <x:v>عایق‌کاری بام</x:v>
      </x:c>
      <x:c r="C32" s="48" t="n">
        <x:f>Activities!Q33</x:f>
        <x:v>46359</x:v>
      </x:c>
      <x:c r="D32" s="48" t="n">
        <x:f>Activities!R33</x:f>
        <x:v>46364</x:v>
      </x:c>
      <x:c r="E32" s="46" t="str">
        <x:f>Activities!T33</x:f>
        <x:v>شروع‌نشده</x:v>
      </x:c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  <x:c r="AA32" s="49"/>
      <x:c r="AB32" s="49"/>
      <x:c r="AC32" s="49"/>
      <x:c r="AD32" s="49"/>
    </x:row>
    <x:row r="33" ht="45" customHeight="1">
      <x:c r="A33" s="24" t="str">
        <x:f>Activities!B34</x:f>
        <x:v>ACT-1.7-01</x:v>
      </x:c>
      <x:c r="B33" s="46" t="str">
        <x:f>Activities!D34</x:f>
        <x:v>نما و محوطه؛ فعالیت تجمیعی</x:v>
      </x:c>
      <x:c r="C33" s="48" t="n">
        <x:f>Activities!Q34</x:f>
        <x:v>46369</x:v>
      </x:c>
      <x:c r="D33" s="48" t="n">
        <x:f>Activities!R34</x:f>
        <x:v>46384</x:v>
      </x:c>
      <x:c r="E33" s="46" t="str">
        <x:f>Activities!T34</x:f>
        <x:v>شروع‌نشده</x:v>
      </x:c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  <x:c r="AA33" s="49"/>
      <x:c r="AB33" s="49"/>
      <x:c r="AC33" s="49"/>
      <x:c r="AD33" s="49"/>
    </x:row>
    <x:row r="34" ht="45" customHeight="1">
      <x:c r="A34" s="24" t="str">
        <x:f>Activities!B35</x:f>
        <x:v>ACT-1.5-01</x:v>
      </x:c>
      <x:c r="B34" s="46" t="str">
        <x:f>Activities!D35</x:f>
        <x:v>نصب نهایی تأسیسات و آسانسور</x:v>
      </x:c>
      <x:c r="C34" s="48" t="n">
        <x:f>Activities!Q35</x:f>
        <x:v>46401</x:v>
      </x:c>
      <x:c r="D34" s="48" t="n">
        <x:f>Activities!R35</x:f>
        <x:v>46412</x:v>
      </x:c>
      <x:c r="E34" s="46" t="str">
        <x:f>Activities!T35</x:f>
        <x:v>شروع‌نشده</x:v>
      </x:c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  <x:c r="AA34" s="49"/>
      <x:c r="AB34" s="49"/>
      <x:c r="AC34" s="49"/>
      <x:c r="AD34" s="49"/>
    </x:row>
    <x:row r="35" ht="45" customHeight="1">
      <x:c r="A35" s="24" t="str">
        <x:f>Activities!B36</x:f>
        <x:v>ACT-1.5.7-01</x:v>
      </x:c>
      <x:c r="B35" s="46" t="str">
        <x:f>Activities!D36</x:f>
        <x:v>آزمون یکپارچه تأسیسات</x:v>
      </x:c>
      <x:c r="C35" s="48" t="n">
        <x:f>Activities!Q36</x:f>
        <x:v>46413</x:v>
      </x:c>
      <x:c r="D35" s="48" t="n">
        <x:f>Activities!R36</x:f>
        <x:v>46415</x:v>
      </x:c>
      <x:c r="E35" s="46" t="str">
        <x:f>Activities!T36</x:f>
        <x:v>شروع‌نشده</x:v>
      </x:c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  <x:c r="AA35" s="49"/>
      <x:c r="AB35" s="49"/>
      <x:c r="AC35" s="49"/>
      <x:c r="AD35" s="49"/>
    </x:row>
    <x:row r="36" ht="45" customHeight="1">
      <x:c r="A36" s="24" t="str">
        <x:f>Activities!B37</x:f>
        <x:v>ACT-1.8.3-01</x:v>
      </x:c>
      <x:c r="B36" s="46" t="str">
        <x:f>Activities!D37</x:f>
        <x:v>تکمیل مدارک چون‌ساخت و بهره‌برداری</x:v>
      </x:c>
      <x:c r="C36" s="48" t="n">
        <x:f>Activities!Q37</x:f>
        <x:v>46417</x:v>
      </x:c>
      <x:c r="D36" s="48" t="n">
        <x:f>Activities!R37</x:f>
        <x:v>46420</x:v>
      </x:c>
      <x:c r="E36" s="46" t="str">
        <x:f>Activities!T37</x:f>
        <x:v>شروع‌نشده</x:v>
      </x:c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  <x:c r="AA36" s="49"/>
      <x:c r="AB36" s="49"/>
      <x:c r="AC36" s="49"/>
      <x:c r="AD36" s="49"/>
    </x:row>
    <x:row r="37" ht="45" customHeight="1">
      <x:c r="A37" s="24" t="str">
        <x:f>Activities!B38</x:f>
        <x:v>ACT-1.8.4-01</x:v>
      </x:c>
      <x:c r="B37" s="46" t="str">
        <x:f>Activities!D38</x:f>
        <x:v>تحویل و جمع‌آوری کارگاه</x:v>
      </x:c>
      <x:c r="C37" s="48" t="n">
        <x:f>Activities!Q38</x:f>
        <x:v>46421</x:v>
      </x:c>
      <x:c r="D37" s="48" t="n">
        <x:f>Activities!R38</x:f>
        <x:v>46422</x:v>
      </x:c>
      <x:c r="E37" s="46" t="str">
        <x:f>Activities!T38</x:f>
        <x:v>شروع‌نشده</x:v>
      </x:c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  <x:c r="AA37" s="49"/>
      <x:c r="AB37" s="49"/>
      <x:c r="AC37" s="49"/>
      <x:c r="AD37" s="49"/>
    </x:row>
    <x:row r="38" ht="34" customHeight="1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  <x:c r="AA38" s="24"/>
      <x:c r="AB38" s="24"/>
      <x:c r="AC38" s="24"/>
      <x:c r="AD38" s="24"/>
    </x:row>
  </x:sheetData>
  <x:conditionalFormatting sqref="F8:AD37">
    <x:cfRule type="expression" dxfId="0" priority="1">
      <x:formula>AND(F$7&lt;=$D8,F$7+6&gt;=$C8)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4B3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.75" hidden="0" customWidth="1"/>
    <x:col min="2" max="2" width="21.25" hidden="0" customWidth="1"/>
    <x:col min="3" max="3" width="15.630000114440918" hidden="0" customWidth="1"/>
    <x:col min="4" max="4" width="37.5" hidden="0" customWidth="1"/>
  </x:cols>
  <x:sheetData>
    <x:row r="1" ht="34" customHeight="1">
      <x:c r="A1" s="24"/>
      <x:c r="B1" s="24"/>
      <x:c r="C1" s="24"/>
      <x:c r="D1" s="24"/>
    </x:row>
    <x:row r="2" ht="38" customHeight="1">
      <x:c r="A2" s="36" t="str">
        <x:v>تقویم نمونه؛ ۱۸۰ روز از شروع پروژه</x:v>
      </x:c>
      <x:c r="B2" s="24"/>
      <x:c r="C2" s="24"/>
      <x:c r="D2" s="24"/>
    </x:row>
    <x:row r="3" ht="28" customHeight="1">
      <x:c r="A3" s="38" t="str">
        <x:v>جمعه و تعطیلی فرضی از روز کاری حذف می‌شوند؛ این فهرست تعطیلات رسمی نیست.</x:v>
      </x:c>
      <x:c r="B3" s="24"/>
      <x:c r="C3" s="24"/>
      <x:c r="D3" s="24"/>
    </x:row>
    <x:row r="4" ht="34" customHeight="1">
      <x:c r="A4" s="24"/>
      <x:c r="B4" s="24"/>
      <x:c r="C4" s="24"/>
      <x:c r="D4" s="24"/>
    </x:row>
    <x:row r="5" ht="34" customHeight="1">
      <x:c r="A5" s="24"/>
      <x:c r="B5" s="24"/>
      <x:c r="C5" s="24"/>
      <x:c r="D5" s="24"/>
    </x:row>
    <x:row r="6" ht="34" customHeight="1">
      <x:c r="A6" s="24"/>
      <x:c r="B6" s="24"/>
      <x:c r="C6" s="24"/>
      <x:c r="D6" s="24"/>
    </x:row>
    <x:row r="7" ht="40" customHeight="1">
      <x:c r="A7" s="40" t="str">
        <x:v>تاریخ</x:v>
      </x:c>
      <x:c r="B7" s="40" t="str">
        <x:v>روز هفته؛ دوشنبه=۱</x:v>
      </x:c>
      <x:c r="C7" s="40" t="str">
        <x:v>روز کاری؟</x:v>
      </x:c>
      <x:c r="D7" s="40" t="str">
        <x:v>توضیح</x:v>
      </x:c>
    </x:row>
    <x:row r="8" ht="34" customHeight="1">
      <x:c r="A8" s="48" t="n">
        <x:f>Assumptions!$B$7+0</x:f>
        <x:v>46298</x:v>
      </x:c>
      <x:c r="B8" s="24" t="n">
        <x:f>WEEKDAY(A8,2)</x:f>
        <x:v>6</x:v>
      </x:c>
      <x:c r="C8" s="46" t="str">
        <x:f>IF(WORKDAY.INTL(A8-1,1,Assumptions!$B$9,Assumptions!$B$11:$B$11)=A8,"بله","خیر")</x:f>
        <x:v>بله</x:v>
      </x:c>
      <x:c r="D8" s="24" t="str">
        <x:f>IF(COUNTIF(Assumptions!$B$11:$B$11,A8)&gt;0,"تعطیلی فرضی",IF(C8="خیر","تعطیلی هفتگی",""))</x:f>
      </x:c>
    </x:row>
    <x:row r="9" ht="34" customHeight="1">
      <x:c r="A9" s="48" t="n">
        <x:f>Assumptions!$B$7+1</x:f>
        <x:v>46299</x:v>
      </x:c>
      <x:c r="B9" s="24" t="n">
        <x:f>WEEKDAY(A9,2)</x:f>
        <x:v>7</x:v>
      </x:c>
      <x:c r="C9" s="46" t="str">
        <x:f>IF(WORKDAY.INTL(A9-1,1,Assumptions!$B$9,Assumptions!$B$11:$B$11)=A9,"بله","خیر")</x:f>
        <x:v>بله</x:v>
      </x:c>
      <x:c r="D9" s="24" t="str">
        <x:f>IF(COUNTIF(Assumptions!$B$11:$B$11,A9)&gt;0,"تعطیلی فرضی",IF(C9="خیر","تعطیلی هفتگی",""))</x:f>
      </x:c>
    </x:row>
    <x:row r="10" ht="34" customHeight="1">
      <x:c r="A10" s="48" t="n">
        <x:f>Assumptions!$B$7+2</x:f>
        <x:v>46300</x:v>
      </x:c>
      <x:c r="B10" s="24" t="n">
        <x:f>WEEKDAY(A10,2)</x:f>
        <x:v>1</x:v>
      </x:c>
      <x:c r="C10" s="46" t="str">
        <x:f>IF(WORKDAY.INTL(A10-1,1,Assumptions!$B$9,Assumptions!$B$11:$B$11)=A10,"بله","خیر")</x:f>
        <x:v>بله</x:v>
      </x:c>
      <x:c r="D10" s="24" t="str">
        <x:f>IF(COUNTIF(Assumptions!$B$11:$B$11,A10)&gt;0,"تعطیلی فرضی",IF(C10="خیر","تعطیلی هفتگی",""))</x:f>
      </x:c>
    </x:row>
    <x:row r="11" ht="34" customHeight="1">
      <x:c r="A11" s="48" t="n">
        <x:f>Assumptions!$B$7+3</x:f>
        <x:v>46301</x:v>
      </x:c>
      <x:c r="B11" s="24" t="n">
        <x:f>WEEKDAY(A11,2)</x:f>
        <x:v>2</x:v>
      </x:c>
      <x:c r="C11" s="46" t="str">
        <x:f>IF(WORKDAY.INTL(A11-1,1,Assumptions!$B$9,Assumptions!$B$11:$B$11)=A11,"بله","خیر")</x:f>
        <x:v>بله</x:v>
      </x:c>
      <x:c r="D11" s="24" t="str">
        <x:f>IF(COUNTIF(Assumptions!$B$11:$B$11,A11)&gt;0,"تعطیلی فرضی",IF(C11="خیر","تعطیلی هفتگی",""))</x:f>
      </x:c>
    </x:row>
    <x:row r="12" ht="34" customHeight="1">
      <x:c r="A12" s="48" t="n">
        <x:f>Assumptions!$B$7+4</x:f>
        <x:v>46302</x:v>
      </x:c>
      <x:c r="B12" s="24" t="n">
        <x:f>WEEKDAY(A12,2)</x:f>
        <x:v>3</x:v>
      </x:c>
      <x:c r="C12" s="46" t="str">
        <x:f>IF(WORKDAY.INTL(A12-1,1,Assumptions!$B$9,Assumptions!$B$11:$B$11)=A12,"بله","خیر")</x:f>
        <x:v>بله</x:v>
      </x:c>
      <x:c r="D12" s="24" t="str">
        <x:f>IF(COUNTIF(Assumptions!$B$11:$B$11,A12)&gt;0,"تعطیلی فرضی",IF(C12="خیر","تعطیلی هفتگی",""))</x:f>
      </x:c>
    </x:row>
    <x:row r="13" ht="34" customHeight="1">
      <x:c r="A13" s="48" t="n">
        <x:f>Assumptions!$B$7+5</x:f>
        <x:v>46303</x:v>
      </x:c>
      <x:c r="B13" s="24" t="n">
        <x:f>WEEKDAY(A13,2)</x:f>
        <x:v>4</x:v>
      </x:c>
      <x:c r="C13" s="46" t="str">
        <x:f>IF(WORKDAY.INTL(A13-1,1,Assumptions!$B$9,Assumptions!$B$11:$B$11)=A13,"بله","خیر")</x:f>
        <x:v>بله</x:v>
      </x:c>
      <x:c r="D13" s="24" t="str">
        <x:f>IF(COUNTIF(Assumptions!$B$11:$B$11,A13)&gt;0,"تعطیلی فرضی",IF(C13="خیر","تعطیلی هفتگی",""))</x:f>
      </x:c>
    </x:row>
    <x:row r="14" ht="34" customHeight="1">
      <x:c r="A14" s="48" t="n">
        <x:f>Assumptions!$B$7+6</x:f>
        <x:v>46304</x:v>
      </x:c>
      <x:c r="B14" s="24" t="n">
        <x:f>WEEKDAY(A14,2)</x:f>
        <x:v>5</x:v>
      </x:c>
      <x:c r="C14" s="46" t="str">
        <x:f>IF(WORKDAY.INTL(A14-1,1,Assumptions!$B$9,Assumptions!$B$11:$B$11)=A14,"بله","خیر")</x:f>
        <x:v>خیر</x:v>
      </x:c>
      <x:c r="D14" s="46" t="str">
        <x:f>IF(COUNTIF(Assumptions!$B$11:$B$11,A14)&gt;0,"تعطیلی فرضی",IF(C14="خیر","تعطیلی هفتگی",""))</x:f>
        <x:v>تعطیلی هفتگی</x:v>
      </x:c>
    </x:row>
    <x:row r="15" ht="34" customHeight="1">
      <x:c r="A15" s="48" t="n">
        <x:f>Assumptions!$B$7+7</x:f>
        <x:v>46305</x:v>
      </x:c>
      <x:c r="B15" s="24" t="n">
        <x:f>WEEKDAY(A15,2)</x:f>
        <x:v>6</x:v>
      </x:c>
      <x:c r="C15" s="46" t="str">
        <x:f>IF(WORKDAY.INTL(A15-1,1,Assumptions!$B$9,Assumptions!$B$11:$B$11)=A15,"بله","خیر")</x:f>
        <x:v>بله</x:v>
      </x:c>
      <x:c r="D15" s="24" t="str">
        <x:f>IF(COUNTIF(Assumptions!$B$11:$B$11,A15)&gt;0,"تعطیلی فرضی",IF(C15="خیر","تعطیلی هفتگی",""))</x:f>
      </x:c>
    </x:row>
    <x:row r="16" ht="34" customHeight="1">
      <x:c r="A16" s="48" t="n">
        <x:f>Assumptions!$B$7+8</x:f>
        <x:v>46306</x:v>
      </x:c>
      <x:c r="B16" s="24" t="n">
        <x:f>WEEKDAY(A16,2)</x:f>
        <x:v>7</x:v>
      </x:c>
      <x:c r="C16" s="46" t="str">
        <x:f>IF(WORKDAY.INTL(A16-1,1,Assumptions!$B$9,Assumptions!$B$11:$B$11)=A16,"بله","خیر")</x:f>
        <x:v>بله</x:v>
      </x:c>
      <x:c r="D16" s="24" t="str">
        <x:f>IF(COUNTIF(Assumptions!$B$11:$B$11,A16)&gt;0,"تعطیلی فرضی",IF(C16="خیر","تعطیلی هفتگی",""))</x:f>
      </x:c>
    </x:row>
    <x:row r="17" ht="34" customHeight="1">
      <x:c r="A17" s="48" t="n">
        <x:f>Assumptions!$B$7+9</x:f>
        <x:v>46307</x:v>
      </x:c>
      <x:c r="B17" s="24" t="n">
        <x:f>WEEKDAY(A17,2)</x:f>
        <x:v>1</x:v>
      </x:c>
      <x:c r="C17" s="46" t="str">
        <x:f>IF(WORKDAY.INTL(A17-1,1,Assumptions!$B$9,Assumptions!$B$11:$B$11)=A17,"بله","خیر")</x:f>
        <x:v>خیر</x:v>
      </x:c>
      <x:c r="D17" s="46" t="str">
        <x:f>IF(COUNTIF(Assumptions!$B$11:$B$11,A17)&gt;0,"تعطیلی فرضی",IF(C17="خیر","تعطیلی هفتگی",""))</x:f>
        <x:v>تعطیلی فرضی</x:v>
      </x:c>
    </x:row>
    <x:row r="18" ht="34" customHeight="1">
      <x:c r="A18" s="48" t="n">
        <x:f>Assumptions!$B$7+10</x:f>
        <x:v>46308</x:v>
      </x:c>
      <x:c r="B18" s="24" t="n">
        <x:f>WEEKDAY(A18,2)</x:f>
        <x:v>2</x:v>
      </x:c>
      <x:c r="C18" s="46" t="str">
        <x:f>IF(WORKDAY.INTL(A18-1,1,Assumptions!$B$9,Assumptions!$B$11:$B$11)=A18,"بله","خیر")</x:f>
        <x:v>بله</x:v>
      </x:c>
      <x:c r="D18" s="24" t="str">
        <x:f>IF(COUNTIF(Assumptions!$B$11:$B$11,A18)&gt;0,"تعطیلی فرضی",IF(C18="خیر","تعطیلی هفتگی",""))</x:f>
      </x:c>
    </x:row>
    <x:row r="19" ht="34" customHeight="1">
      <x:c r="A19" s="48" t="n">
        <x:f>Assumptions!$B$7+11</x:f>
        <x:v>46309</x:v>
      </x:c>
      <x:c r="B19" s="24" t="n">
        <x:f>WEEKDAY(A19,2)</x:f>
        <x:v>3</x:v>
      </x:c>
      <x:c r="C19" s="46" t="str">
        <x:f>IF(WORKDAY.INTL(A19-1,1,Assumptions!$B$9,Assumptions!$B$11:$B$11)=A19,"بله","خیر")</x:f>
        <x:v>بله</x:v>
      </x:c>
      <x:c r="D19" s="24" t="str">
        <x:f>IF(COUNTIF(Assumptions!$B$11:$B$11,A19)&gt;0,"تعطیلی فرضی",IF(C19="خیر","تعطیلی هفتگی",""))</x:f>
      </x:c>
    </x:row>
    <x:row r="20" ht="34" customHeight="1">
      <x:c r="A20" s="48" t="n">
        <x:f>Assumptions!$B$7+12</x:f>
        <x:v>46310</x:v>
      </x:c>
      <x:c r="B20" s="24" t="n">
        <x:f>WEEKDAY(A20,2)</x:f>
        <x:v>4</x:v>
      </x:c>
      <x:c r="C20" s="46" t="str">
        <x:f>IF(WORKDAY.INTL(A20-1,1,Assumptions!$B$9,Assumptions!$B$11:$B$11)=A20,"بله","خیر")</x:f>
        <x:v>بله</x:v>
      </x:c>
      <x:c r="D20" s="24" t="str">
        <x:f>IF(COUNTIF(Assumptions!$B$11:$B$11,A20)&gt;0,"تعطیلی فرضی",IF(C20="خیر","تعطیلی هفتگی",""))</x:f>
      </x:c>
    </x:row>
    <x:row r="21" ht="34" customHeight="1">
      <x:c r="A21" s="48" t="n">
        <x:f>Assumptions!$B$7+13</x:f>
        <x:v>46311</x:v>
      </x:c>
      <x:c r="B21" s="24" t="n">
        <x:f>WEEKDAY(A21,2)</x:f>
        <x:v>5</x:v>
      </x:c>
      <x:c r="C21" s="46" t="str">
        <x:f>IF(WORKDAY.INTL(A21-1,1,Assumptions!$B$9,Assumptions!$B$11:$B$11)=A21,"بله","خیر")</x:f>
        <x:v>خیر</x:v>
      </x:c>
      <x:c r="D21" s="46" t="str">
        <x:f>IF(COUNTIF(Assumptions!$B$11:$B$11,A21)&gt;0,"تعطیلی فرضی",IF(C21="خیر","تعطیلی هفتگی",""))</x:f>
        <x:v>تعطیلی هفتگی</x:v>
      </x:c>
    </x:row>
    <x:row r="22" ht="34" customHeight="1">
      <x:c r="A22" s="48" t="n">
        <x:f>Assumptions!$B$7+14</x:f>
        <x:v>46312</x:v>
      </x:c>
      <x:c r="B22" s="24" t="n">
        <x:f>WEEKDAY(A22,2)</x:f>
        <x:v>6</x:v>
      </x:c>
      <x:c r="C22" s="46" t="str">
        <x:f>IF(WORKDAY.INTL(A22-1,1,Assumptions!$B$9,Assumptions!$B$11:$B$11)=A22,"بله","خیر")</x:f>
        <x:v>بله</x:v>
      </x:c>
      <x:c r="D22" s="24" t="str">
        <x:f>IF(COUNTIF(Assumptions!$B$11:$B$11,A22)&gt;0,"تعطیلی فرضی",IF(C22="خیر","تعطیلی هفتگی",""))</x:f>
      </x:c>
    </x:row>
    <x:row r="23" ht="34" customHeight="1">
      <x:c r="A23" s="48" t="n">
        <x:f>Assumptions!$B$7+15</x:f>
        <x:v>46313</x:v>
      </x:c>
      <x:c r="B23" s="24" t="n">
        <x:f>WEEKDAY(A23,2)</x:f>
        <x:v>7</x:v>
      </x:c>
      <x:c r="C23" s="46" t="str">
        <x:f>IF(WORKDAY.INTL(A23-1,1,Assumptions!$B$9,Assumptions!$B$11:$B$11)=A23,"بله","خیر")</x:f>
        <x:v>بله</x:v>
      </x:c>
      <x:c r="D23" s="24" t="str">
        <x:f>IF(COUNTIF(Assumptions!$B$11:$B$11,A23)&gt;0,"تعطیلی فرضی",IF(C23="خیر","تعطیلی هفتگی",""))</x:f>
      </x:c>
    </x:row>
    <x:row r="24" ht="34" customHeight="1">
      <x:c r="A24" s="48" t="n">
        <x:f>Assumptions!$B$7+16</x:f>
        <x:v>46314</x:v>
      </x:c>
      <x:c r="B24" s="24" t="n">
        <x:f>WEEKDAY(A24,2)</x:f>
        <x:v>1</x:v>
      </x:c>
      <x:c r="C24" s="46" t="str">
        <x:f>IF(WORKDAY.INTL(A24-1,1,Assumptions!$B$9,Assumptions!$B$11:$B$11)=A24,"بله","خیر")</x:f>
        <x:v>بله</x:v>
      </x:c>
      <x:c r="D24" s="24" t="str">
        <x:f>IF(COUNTIF(Assumptions!$B$11:$B$11,A24)&gt;0,"تعطیلی فرضی",IF(C24="خیر","تعطیلی هفتگی",""))</x:f>
      </x:c>
    </x:row>
    <x:row r="25" ht="34" customHeight="1">
      <x:c r="A25" s="48" t="n">
        <x:f>Assumptions!$B$7+17</x:f>
        <x:v>46315</x:v>
      </x:c>
      <x:c r="B25" s="24" t="n">
        <x:f>WEEKDAY(A25,2)</x:f>
        <x:v>2</x:v>
      </x:c>
      <x:c r="C25" s="46" t="str">
        <x:f>IF(WORKDAY.INTL(A25-1,1,Assumptions!$B$9,Assumptions!$B$11:$B$11)=A25,"بله","خیر")</x:f>
        <x:v>بله</x:v>
      </x:c>
      <x:c r="D25" s="24" t="str">
        <x:f>IF(COUNTIF(Assumptions!$B$11:$B$11,A25)&gt;0,"تعطیلی فرضی",IF(C25="خیر","تعطیلی هفتگی",""))</x:f>
      </x:c>
    </x:row>
    <x:row r="26" ht="34" customHeight="1">
      <x:c r="A26" s="48" t="n">
        <x:f>Assumptions!$B$7+18</x:f>
        <x:v>46316</x:v>
      </x:c>
      <x:c r="B26" s="24" t="n">
        <x:f>WEEKDAY(A26,2)</x:f>
        <x:v>3</x:v>
      </x:c>
      <x:c r="C26" s="46" t="str">
        <x:f>IF(WORKDAY.INTL(A26-1,1,Assumptions!$B$9,Assumptions!$B$11:$B$11)=A26,"بله","خیر")</x:f>
        <x:v>بله</x:v>
      </x:c>
      <x:c r="D26" s="24" t="str">
        <x:f>IF(COUNTIF(Assumptions!$B$11:$B$11,A26)&gt;0,"تعطیلی فرضی",IF(C26="خیر","تعطیلی هفتگی",""))</x:f>
      </x:c>
    </x:row>
    <x:row r="27" ht="34" customHeight="1">
      <x:c r="A27" s="48" t="n">
        <x:f>Assumptions!$B$7+19</x:f>
        <x:v>46317</x:v>
      </x:c>
      <x:c r="B27" s="24" t="n">
        <x:f>WEEKDAY(A27,2)</x:f>
        <x:v>4</x:v>
      </x:c>
      <x:c r="C27" s="46" t="str">
        <x:f>IF(WORKDAY.INTL(A27-1,1,Assumptions!$B$9,Assumptions!$B$11:$B$11)=A27,"بله","خیر")</x:f>
        <x:v>بله</x:v>
      </x:c>
      <x:c r="D27" s="24" t="str">
        <x:f>IF(COUNTIF(Assumptions!$B$11:$B$11,A27)&gt;0,"تعطیلی فرضی",IF(C27="خیر","تعطیلی هفتگی",""))</x:f>
      </x:c>
    </x:row>
    <x:row r="28" ht="34" customHeight="1">
      <x:c r="A28" s="48" t="n">
        <x:f>Assumptions!$B$7+20</x:f>
        <x:v>46318</x:v>
      </x:c>
      <x:c r="B28" s="24" t="n">
        <x:f>WEEKDAY(A28,2)</x:f>
        <x:v>5</x:v>
      </x:c>
      <x:c r="C28" s="46" t="str">
        <x:f>IF(WORKDAY.INTL(A28-1,1,Assumptions!$B$9,Assumptions!$B$11:$B$11)=A28,"بله","خیر")</x:f>
        <x:v>خیر</x:v>
      </x:c>
      <x:c r="D28" s="46" t="str">
        <x:f>IF(COUNTIF(Assumptions!$B$11:$B$11,A28)&gt;0,"تعطیلی فرضی",IF(C28="خیر","تعطیلی هفتگی",""))</x:f>
        <x:v>تعطیلی هفتگی</x:v>
      </x:c>
    </x:row>
    <x:row r="29" ht="34" customHeight="1">
      <x:c r="A29" s="48" t="n">
        <x:f>Assumptions!$B$7+21</x:f>
        <x:v>46319</x:v>
      </x:c>
      <x:c r="B29" s="24" t="n">
        <x:f>WEEKDAY(A29,2)</x:f>
        <x:v>6</x:v>
      </x:c>
      <x:c r="C29" s="46" t="str">
        <x:f>IF(WORKDAY.INTL(A29-1,1,Assumptions!$B$9,Assumptions!$B$11:$B$11)=A29,"بله","خیر")</x:f>
        <x:v>بله</x:v>
      </x:c>
      <x:c r="D29" s="24" t="str">
        <x:f>IF(COUNTIF(Assumptions!$B$11:$B$11,A29)&gt;0,"تعطیلی فرضی",IF(C29="خیر","تعطیلی هفتگی",""))</x:f>
      </x:c>
    </x:row>
    <x:row r="30" ht="34" customHeight="1">
      <x:c r="A30" s="48" t="n">
        <x:f>Assumptions!$B$7+22</x:f>
        <x:v>46320</x:v>
      </x:c>
      <x:c r="B30" s="24" t="n">
        <x:f>WEEKDAY(A30,2)</x:f>
        <x:v>7</x:v>
      </x:c>
      <x:c r="C30" s="46" t="str">
        <x:f>IF(WORKDAY.INTL(A30-1,1,Assumptions!$B$9,Assumptions!$B$11:$B$11)=A30,"بله","خیر")</x:f>
        <x:v>بله</x:v>
      </x:c>
      <x:c r="D30" s="24" t="str">
        <x:f>IF(COUNTIF(Assumptions!$B$11:$B$11,A30)&gt;0,"تعطیلی فرضی",IF(C30="خیر","تعطیلی هفتگی",""))</x:f>
      </x:c>
    </x:row>
    <x:row r="31" ht="34" customHeight="1">
      <x:c r="A31" s="48" t="n">
        <x:f>Assumptions!$B$7+23</x:f>
        <x:v>46321</x:v>
      </x:c>
      <x:c r="B31" s="24" t="n">
        <x:f>WEEKDAY(A31,2)</x:f>
        <x:v>1</x:v>
      </x:c>
      <x:c r="C31" s="46" t="str">
        <x:f>IF(WORKDAY.INTL(A31-1,1,Assumptions!$B$9,Assumptions!$B$11:$B$11)=A31,"بله","خیر")</x:f>
        <x:v>بله</x:v>
      </x:c>
      <x:c r="D31" s="24" t="str">
        <x:f>IF(COUNTIF(Assumptions!$B$11:$B$11,A31)&gt;0,"تعطیلی فرضی",IF(C31="خیر","تعطیلی هفتگی",""))</x:f>
      </x:c>
    </x:row>
    <x:row r="32" ht="34" customHeight="1">
      <x:c r="A32" s="48" t="n">
        <x:f>Assumptions!$B$7+24</x:f>
        <x:v>46322</x:v>
      </x:c>
      <x:c r="B32" s="24" t="n">
        <x:f>WEEKDAY(A32,2)</x:f>
        <x:v>2</x:v>
      </x:c>
      <x:c r="C32" s="46" t="str">
        <x:f>IF(WORKDAY.INTL(A32-1,1,Assumptions!$B$9,Assumptions!$B$11:$B$11)=A32,"بله","خیر")</x:f>
        <x:v>بله</x:v>
      </x:c>
      <x:c r="D32" s="24" t="str">
        <x:f>IF(COUNTIF(Assumptions!$B$11:$B$11,A32)&gt;0,"تعطیلی فرضی",IF(C32="خیر","تعطیلی هفتگی",""))</x:f>
      </x:c>
    </x:row>
    <x:row r="33" ht="34" customHeight="1">
      <x:c r="A33" s="48" t="n">
        <x:f>Assumptions!$B$7+25</x:f>
        <x:v>46323</x:v>
      </x:c>
      <x:c r="B33" s="24" t="n">
        <x:f>WEEKDAY(A33,2)</x:f>
        <x:v>3</x:v>
      </x:c>
      <x:c r="C33" s="46" t="str">
        <x:f>IF(WORKDAY.INTL(A33-1,1,Assumptions!$B$9,Assumptions!$B$11:$B$11)=A33,"بله","خیر")</x:f>
        <x:v>بله</x:v>
      </x:c>
      <x:c r="D33" s="24" t="str">
        <x:f>IF(COUNTIF(Assumptions!$B$11:$B$11,A33)&gt;0,"تعطیلی فرضی",IF(C33="خیر","تعطیلی هفتگی",""))</x:f>
      </x:c>
    </x:row>
    <x:row r="34" ht="34" customHeight="1">
      <x:c r="A34" s="48" t="n">
        <x:f>Assumptions!$B$7+26</x:f>
        <x:v>46324</x:v>
      </x:c>
      <x:c r="B34" s="24" t="n">
        <x:f>WEEKDAY(A34,2)</x:f>
        <x:v>4</x:v>
      </x:c>
      <x:c r="C34" s="46" t="str">
        <x:f>IF(WORKDAY.INTL(A34-1,1,Assumptions!$B$9,Assumptions!$B$11:$B$11)=A34,"بله","خیر")</x:f>
        <x:v>بله</x:v>
      </x:c>
      <x:c r="D34" s="24" t="str">
        <x:f>IF(COUNTIF(Assumptions!$B$11:$B$11,A34)&gt;0,"تعطیلی فرضی",IF(C34="خیر","تعطیلی هفتگی",""))</x:f>
      </x:c>
    </x:row>
    <x:row r="35" ht="34" customHeight="1">
      <x:c r="A35" s="48" t="n">
        <x:f>Assumptions!$B$7+27</x:f>
        <x:v>46325</x:v>
      </x:c>
      <x:c r="B35" s="24" t="n">
        <x:f>WEEKDAY(A35,2)</x:f>
        <x:v>5</x:v>
      </x:c>
      <x:c r="C35" s="46" t="str">
        <x:f>IF(WORKDAY.INTL(A35-1,1,Assumptions!$B$9,Assumptions!$B$11:$B$11)=A35,"بله","خیر")</x:f>
        <x:v>خیر</x:v>
      </x:c>
      <x:c r="D35" s="46" t="str">
        <x:f>IF(COUNTIF(Assumptions!$B$11:$B$11,A35)&gt;0,"تعطیلی فرضی",IF(C35="خیر","تعطیلی هفتگی",""))</x:f>
        <x:v>تعطیلی هفتگی</x:v>
      </x:c>
    </x:row>
    <x:row r="36" ht="34" customHeight="1">
      <x:c r="A36" s="48" t="n">
        <x:f>Assumptions!$B$7+28</x:f>
        <x:v>46326</x:v>
      </x:c>
      <x:c r="B36" s="24" t="n">
        <x:f>WEEKDAY(A36,2)</x:f>
        <x:v>6</x:v>
      </x:c>
      <x:c r="C36" s="46" t="str">
        <x:f>IF(WORKDAY.INTL(A36-1,1,Assumptions!$B$9,Assumptions!$B$11:$B$11)=A36,"بله","خیر")</x:f>
        <x:v>بله</x:v>
      </x:c>
      <x:c r="D36" s="24" t="str">
        <x:f>IF(COUNTIF(Assumptions!$B$11:$B$11,A36)&gt;0,"تعطیلی فرضی",IF(C36="خیر","تعطیلی هفتگی",""))</x:f>
      </x:c>
    </x:row>
    <x:row r="37" ht="34" customHeight="1">
      <x:c r="A37" s="48" t="n">
        <x:f>Assumptions!$B$7+29</x:f>
        <x:v>46327</x:v>
      </x:c>
      <x:c r="B37" s="24" t="n">
        <x:f>WEEKDAY(A37,2)</x:f>
        <x:v>7</x:v>
      </x:c>
      <x:c r="C37" s="46" t="str">
        <x:f>IF(WORKDAY.INTL(A37-1,1,Assumptions!$B$9,Assumptions!$B$11:$B$11)=A37,"بله","خیر")</x:f>
        <x:v>بله</x:v>
      </x:c>
      <x:c r="D37" s="24" t="str">
        <x:f>IF(COUNTIF(Assumptions!$B$11:$B$11,A37)&gt;0,"تعطیلی فرضی",IF(C37="خیر","تعطیلی هفتگی",""))</x:f>
      </x:c>
    </x:row>
    <x:row r="38" ht="34" customHeight="1">
      <x:c r="A38" s="48" t="n">
        <x:f>Assumptions!$B$7+30</x:f>
        <x:v>46328</x:v>
      </x:c>
      <x:c r="B38" s="24" t="n">
        <x:f>WEEKDAY(A38,2)</x:f>
        <x:v>1</x:v>
      </x:c>
      <x:c r="C38" s="46" t="str">
        <x:f>IF(WORKDAY.INTL(A38-1,1,Assumptions!$B$9,Assumptions!$B$11:$B$11)=A38,"بله","خیر")</x:f>
        <x:v>بله</x:v>
      </x:c>
      <x:c r="D38" s="24" t="str">
        <x:f>IF(COUNTIF(Assumptions!$B$11:$B$11,A38)&gt;0,"تعطیلی فرضی",IF(C38="خیر","تعطیلی هفتگی",""))</x:f>
      </x:c>
    </x:row>
    <x:row r="39" ht="34" customHeight="1">
      <x:c r="A39" s="48" t="n">
        <x:f>Assumptions!$B$7+31</x:f>
        <x:v>46329</x:v>
      </x:c>
      <x:c r="B39" s="24" t="n">
        <x:f>WEEKDAY(A39,2)</x:f>
        <x:v>2</x:v>
      </x:c>
      <x:c r="C39" s="46" t="str">
        <x:f>IF(WORKDAY.INTL(A39-1,1,Assumptions!$B$9,Assumptions!$B$11:$B$11)=A39,"بله","خیر")</x:f>
        <x:v>بله</x:v>
      </x:c>
      <x:c r="D39" s="24" t="str">
        <x:f>IF(COUNTIF(Assumptions!$B$11:$B$11,A39)&gt;0,"تعطیلی فرضی",IF(C39="خیر","تعطیلی هفتگی",""))</x:f>
      </x:c>
    </x:row>
    <x:row r="40" ht="34" customHeight="1">
      <x:c r="A40" s="48" t="n">
        <x:f>Assumptions!$B$7+32</x:f>
        <x:v>46330</x:v>
      </x:c>
      <x:c r="B40" s="24" t="n">
        <x:f>WEEKDAY(A40,2)</x:f>
        <x:v>3</x:v>
      </x:c>
      <x:c r="C40" s="46" t="str">
        <x:f>IF(WORKDAY.INTL(A40-1,1,Assumptions!$B$9,Assumptions!$B$11:$B$11)=A40,"بله","خیر")</x:f>
        <x:v>بله</x:v>
      </x:c>
      <x:c r="D40" s="24" t="str">
        <x:f>IF(COUNTIF(Assumptions!$B$11:$B$11,A40)&gt;0,"تعطیلی فرضی",IF(C40="خیر","تعطیلی هفتگی",""))</x:f>
      </x:c>
    </x:row>
    <x:row r="41" ht="34" customHeight="1">
      <x:c r="A41" s="48" t="n">
        <x:f>Assumptions!$B$7+33</x:f>
        <x:v>46331</x:v>
      </x:c>
      <x:c r="B41" s="24" t="n">
        <x:f>WEEKDAY(A41,2)</x:f>
        <x:v>4</x:v>
      </x:c>
      <x:c r="C41" s="46" t="str">
        <x:f>IF(WORKDAY.INTL(A41-1,1,Assumptions!$B$9,Assumptions!$B$11:$B$11)=A41,"بله","خیر")</x:f>
        <x:v>بله</x:v>
      </x:c>
      <x:c r="D41" s="24" t="str">
        <x:f>IF(COUNTIF(Assumptions!$B$11:$B$11,A41)&gt;0,"تعطیلی فرضی",IF(C41="خیر","تعطیلی هفتگی",""))</x:f>
      </x:c>
    </x:row>
    <x:row r="42" ht="34" customHeight="1">
      <x:c r="A42" s="48" t="n">
        <x:f>Assumptions!$B$7+34</x:f>
        <x:v>46332</x:v>
      </x:c>
      <x:c r="B42" s="24" t="n">
        <x:f>WEEKDAY(A42,2)</x:f>
        <x:v>5</x:v>
      </x:c>
      <x:c r="C42" s="46" t="str">
        <x:f>IF(WORKDAY.INTL(A42-1,1,Assumptions!$B$9,Assumptions!$B$11:$B$11)=A42,"بله","خیر")</x:f>
        <x:v>خیر</x:v>
      </x:c>
      <x:c r="D42" s="46" t="str">
        <x:f>IF(COUNTIF(Assumptions!$B$11:$B$11,A42)&gt;0,"تعطیلی فرضی",IF(C42="خیر","تعطیلی هفتگی",""))</x:f>
        <x:v>تعطیلی هفتگی</x:v>
      </x:c>
    </x:row>
    <x:row r="43" ht="34" customHeight="1">
      <x:c r="A43" s="48" t="n">
        <x:f>Assumptions!$B$7+35</x:f>
        <x:v>46333</x:v>
      </x:c>
      <x:c r="B43" s="24" t="n">
        <x:f>WEEKDAY(A43,2)</x:f>
        <x:v>6</x:v>
      </x:c>
      <x:c r="C43" s="46" t="str">
        <x:f>IF(WORKDAY.INTL(A43-1,1,Assumptions!$B$9,Assumptions!$B$11:$B$11)=A43,"بله","خیر")</x:f>
        <x:v>بله</x:v>
      </x:c>
      <x:c r="D43" s="24" t="str">
        <x:f>IF(COUNTIF(Assumptions!$B$11:$B$11,A43)&gt;0,"تعطیلی فرضی",IF(C43="خیر","تعطیلی هفتگی",""))</x:f>
      </x:c>
    </x:row>
    <x:row r="44" ht="34" customHeight="1">
      <x:c r="A44" s="48" t="n">
        <x:f>Assumptions!$B$7+36</x:f>
        <x:v>46334</x:v>
      </x:c>
      <x:c r="B44" s="24" t="n">
        <x:f>WEEKDAY(A44,2)</x:f>
        <x:v>7</x:v>
      </x:c>
      <x:c r="C44" s="46" t="str">
        <x:f>IF(WORKDAY.INTL(A44-1,1,Assumptions!$B$9,Assumptions!$B$11:$B$11)=A44,"بله","خیر")</x:f>
        <x:v>بله</x:v>
      </x:c>
      <x:c r="D44" s="24" t="str">
        <x:f>IF(COUNTIF(Assumptions!$B$11:$B$11,A44)&gt;0,"تعطیلی فرضی",IF(C44="خیر","تعطیلی هفتگی",""))</x:f>
      </x:c>
    </x:row>
    <x:row r="45" ht="34" customHeight="1">
      <x:c r="A45" s="48" t="n">
        <x:f>Assumptions!$B$7+37</x:f>
        <x:v>46335</x:v>
      </x:c>
      <x:c r="B45" s="24" t="n">
        <x:f>WEEKDAY(A45,2)</x:f>
        <x:v>1</x:v>
      </x:c>
      <x:c r="C45" s="46" t="str">
        <x:f>IF(WORKDAY.INTL(A45-1,1,Assumptions!$B$9,Assumptions!$B$11:$B$11)=A45,"بله","خیر")</x:f>
        <x:v>بله</x:v>
      </x:c>
      <x:c r="D45" s="24" t="str">
        <x:f>IF(COUNTIF(Assumptions!$B$11:$B$11,A45)&gt;0,"تعطیلی فرضی",IF(C45="خیر","تعطیلی هفتگی",""))</x:f>
      </x:c>
    </x:row>
    <x:row r="46" ht="34" customHeight="1">
      <x:c r="A46" s="48" t="n">
        <x:f>Assumptions!$B$7+38</x:f>
        <x:v>46336</x:v>
      </x:c>
      <x:c r="B46" s="24" t="n">
        <x:f>WEEKDAY(A46,2)</x:f>
        <x:v>2</x:v>
      </x:c>
      <x:c r="C46" s="46" t="str">
        <x:f>IF(WORKDAY.INTL(A46-1,1,Assumptions!$B$9,Assumptions!$B$11:$B$11)=A46,"بله","خیر")</x:f>
        <x:v>بله</x:v>
      </x:c>
      <x:c r="D46" s="24" t="str">
        <x:f>IF(COUNTIF(Assumptions!$B$11:$B$11,A46)&gt;0,"تعطیلی فرضی",IF(C46="خیر","تعطیلی هفتگی",""))</x:f>
      </x:c>
    </x:row>
    <x:row r="47" ht="34" customHeight="1">
      <x:c r="A47" s="48" t="n">
        <x:f>Assumptions!$B$7+39</x:f>
        <x:v>46337</x:v>
      </x:c>
      <x:c r="B47" s="24" t="n">
        <x:f>WEEKDAY(A47,2)</x:f>
        <x:v>3</x:v>
      </x:c>
      <x:c r="C47" s="46" t="str">
        <x:f>IF(WORKDAY.INTL(A47-1,1,Assumptions!$B$9,Assumptions!$B$11:$B$11)=A47,"بله","خیر")</x:f>
        <x:v>بله</x:v>
      </x:c>
      <x:c r="D47" s="24" t="str">
        <x:f>IF(COUNTIF(Assumptions!$B$11:$B$11,A47)&gt;0,"تعطیلی فرضی",IF(C47="خیر","تعطیلی هفتگی",""))</x:f>
      </x:c>
    </x:row>
    <x:row r="48" ht="34" customHeight="1">
      <x:c r="A48" s="48" t="n">
        <x:f>Assumptions!$B$7+40</x:f>
        <x:v>46338</x:v>
      </x:c>
      <x:c r="B48" s="24" t="n">
        <x:f>WEEKDAY(A48,2)</x:f>
        <x:v>4</x:v>
      </x:c>
      <x:c r="C48" s="46" t="str">
        <x:f>IF(WORKDAY.INTL(A48-1,1,Assumptions!$B$9,Assumptions!$B$11:$B$11)=A48,"بله","خیر")</x:f>
        <x:v>بله</x:v>
      </x:c>
      <x:c r="D48" s="24" t="str">
        <x:f>IF(COUNTIF(Assumptions!$B$11:$B$11,A48)&gt;0,"تعطیلی فرضی",IF(C48="خیر","تعطیلی هفتگی",""))</x:f>
      </x:c>
    </x:row>
    <x:row r="49" ht="34" customHeight="1">
      <x:c r="A49" s="48" t="n">
        <x:f>Assumptions!$B$7+41</x:f>
        <x:v>46339</x:v>
      </x:c>
      <x:c r="B49" s="24" t="n">
        <x:f>WEEKDAY(A49,2)</x:f>
        <x:v>5</x:v>
      </x:c>
      <x:c r="C49" s="46" t="str">
        <x:f>IF(WORKDAY.INTL(A49-1,1,Assumptions!$B$9,Assumptions!$B$11:$B$11)=A49,"بله","خیر")</x:f>
        <x:v>خیر</x:v>
      </x:c>
      <x:c r="D49" s="46" t="str">
        <x:f>IF(COUNTIF(Assumptions!$B$11:$B$11,A49)&gt;0,"تعطیلی فرضی",IF(C49="خیر","تعطیلی هفتگی",""))</x:f>
        <x:v>تعطیلی هفتگی</x:v>
      </x:c>
    </x:row>
    <x:row r="50" ht="34" customHeight="1">
      <x:c r="A50" s="48" t="n">
        <x:f>Assumptions!$B$7+42</x:f>
        <x:v>46340</x:v>
      </x:c>
      <x:c r="B50" s="24" t="n">
        <x:f>WEEKDAY(A50,2)</x:f>
        <x:v>6</x:v>
      </x:c>
      <x:c r="C50" s="46" t="str">
        <x:f>IF(WORKDAY.INTL(A50-1,1,Assumptions!$B$9,Assumptions!$B$11:$B$11)=A50,"بله","خیر")</x:f>
        <x:v>بله</x:v>
      </x:c>
      <x:c r="D50" s="24" t="str">
        <x:f>IF(COUNTIF(Assumptions!$B$11:$B$11,A50)&gt;0,"تعطیلی فرضی",IF(C50="خیر","تعطیلی هفتگی",""))</x:f>
      </x:c>
    </x:row>
    <x:row r="51" ht="34" customHeight="1">
      <x:c r="A51" s="48" t="n">
        <x:f>Assumptions!$B$7+43</x:f>
        <x:v>46341</x:v>
      </x:c>
      <x:c r="B51" s="24" t="n">
        <x:f>WEEKDAY(A51,2)</x:f>
        <x:v>7</x:v>
      </x:c>
      <x:c r="C51" s="46" t="str">
        <x:f>IF(WORKDAY.INTL(A51-1,1,Assumptions!$B$9,Assumptions!$B$11:$B$11)=A51,"بله","خیر")</x:f>
        <x:v>بله</x:v>
      </x:c>
      <x:c r="D51" s="24" t="str">
        <x:f>IF(COUNTIF(Assumptions!$B$11:$B$11,A51)&gt;0,"تعطیلی فرضی",IF(C51="خیر","تعطیلی هفتگی",""))</x:f>
      </x:c>
    </x:row>
    <x:row r="52" ht="34" customHeight="1">
      <x:c r="A52" s="48" t="n">
        <x:f>Assumptions!$B$7+44</x:f>
        <x:v>46342</x:v>
      </x:c>
      <x:c r="B52" s="24" t="n">
        <x:f>WEEKDAY(A52,2)</x:f>
        <x:v>1</x:v>
      </x:c>
      <x:c r="C52" s="46" t="str">
        <x:f>IF(WORKDAY.INTL(A52-1,1,Assumptions!$B$9,Assumptions!$B$11:$B$11)=A52,"بله","خیر")</x:f>
        <x:v>بله</x:v>
      </x:c>
      <x:c r="D52" s="24" t="str">
        <x:f>IF(COUNTIF(Assumptions!$B$11:$B$11,A52)&gt;0,"تعطیلی فرضی",IF(C52="خیر","تعطیلی هفتگی",""))</x:f>
      </x:c>
    </x:row>
    <x:row r="53" ht="34" customHeight="1">
      <x:c r="A53" s="48" t="n">
        <x:f>Assumptions!$B$7+45</x:f>
        <x:v>46343</x:v>
      </x:c>
      <x:c r="B53" s="24" t="n">
        <x:f>WEEKDAY(A53,2)</x:f>
        <x:v>2</x:v>
      </x:c>
      <x:c r="C53" s="46" t="str">
        <x:f>IF(WORKDAY.INTL(A53-1,1,Assumptions!$B$9,Assumptions!$B$11:$B$11)=A53,"بله","خیر")</x:f>
        <x:v>بله</x:v>
      </x:c>
      <x:c r="D53" s="24" t="str">
        <x:f>IF(COUNTIF(Assumptions!$B$11:$B$11,A53)&gt;0,"تعطیلی فرضی",IF(C53="خیر","تعطیلی هفتگی",""))</x:f>
      </x:c>
    </x:row>
    <x:row r="54" ht="34" customHeight="1">
      <x:c r="A54" s="48" t="n">
        <x:f>Assumptions!$B$7+46</x:f>
        <x:v>46344</x:v>
      </x:c>
      <x:c r="B54" s="24" t="n">
        <x:f>WEEKDAY(A54,2)</x:f>
        <x:v>3</x:v>
      </x:c>
      <x:c r="C54" s="46" t="str">
        <x:f>IF(WORKDAY.INTL(A54-1,1,Assumptions!$B$9,Assumptions!$B$11:$B$11)=A54,"بله","خیر")</x:f>
        <x:v>بله</x:v>
      </x:c>
      <x:c r="D54" s="24" t="str">
        <x:f>IF(COUNTIF(Assumptions!$B$11:$B$11,A54)&gt;0,"تعطیلی فرضی",IF(C54="خیر","تعطیلی هفتگی",""))</x:f>
      </x:c>
    </x:row>
    <x:row r="55" ht="34" customHeight="1">
      <x:c r="A55" s="48" t="n">
        <x:f>Assumptions!$B$7+47</x:f>
        <x:v>46345</x:v>
      </x:c>
      <x:c r="B55" s="24" t="n">
        <x:f>WEEKDAY(A55,2)</x:f>
        <x:v>4</x:v>
      </x:c>
      <x:c r="C55" s="46" t="str">
        <x:f>IF(WORKDAY.INTL(A55-1,1,Assumptions!$B$9,Assumptions!$B$11:$B$11)=A55,"بله","خیر")</x:f>
        <x:v>بله</x:v>
      </x:c>
      <x:c r="D55" s="24" t="str">
        <x:f>IF(COUNTIF(Assumptions!$B$11:$B$11,A55)&gt;0,"تعطیلی فرضی",IF(C55="خیر","تعطیلی هفتگی",""))</x:f>
      </x:c>
    </x:row>
    <x:row r="56" ht="34" customHeight="1">
      <x:c r="A56" s="48" t="n">
        <x:f>Assumptions!$B$7+48</x:f>
        <x:v>46346</x:v>
      </x:c>
      <x:c r="B56" s="24" t="n">
        <x:f>WEEKDAY(A56,2)</x:f>
        <x:v>5</x:v>
      </x:c>
      <x:c r="C56" s="46" t="str">
        <x:f>IF(WORKDAY.INTL(A56-1,1,Assumptions!$B$9,Assumptions!$B$11:$B$11)=A56,"بله","خیر")</x:f>
        <x:v>خیر</x:v>
      </x:c>
      <x:c r="D56" s="46" t="str">
        <x:f>IF(COUNTIF(Assumptions!$B$11:$B$11,A56)&gt;0,"تعطیلی فرضی",IF(C56="خیر","تعطیلی هفتگی",""))</x:f>
        <x:v>تعطیلی هفتگی</x:v>
      </x:c>
    </x:row>
    <x:row r="57" ht="34" customHeight="1">
      <x:c r="A57" s="48" t="n">
        <x:f>Assumptions!$B$7+49</x:f>
        <x:v>46347</x:v>
      </x:c>
      <x:c r="B57" s="24" t="n">
        <x:f>WEEKDAY(A57,2)</x:f>
        <x:v>6</x:v>
      </x:c>
      <x:c r="C57" s="46" t="str">
        <x:f>IF(WORKDAY.INTL(A57-1,1,Assumptions!$B$9,Assumptions!$B$11:$B$11)=A57,"بله","خیر")</x:f>
        <x:v>بله</x:v>
      </x:c>
      <x:c r="D57" s="24" t="str">
        <x:f>IF(COUNTIF(Assumptions!$B$11:$B$11,A57)&gt;0,"تعطیلی فرضی",IF(C57="خیر","تعطیلی هفتگی",""))</x:f>
      </x:c>
    </x:row>
    <x:row r="58" ht="34" customHeight="1">
      <x:c r="A58" s="48" t="n">
        <x:f>Assumptions!$B$7+50</x:f>
        <x:v>46348</x:v>
      </x:c>
      <x:c r="B58" s="24" t="n">
        <x:f>WEEKDAY(A58,2)</x:f>
        <x:v>7</x:v>
      </x:c>
      <x:c r="C58" s="46" t="str">
        <x:f>IF(WORKDAY.INTL(A58-1,1,Assumptions!$B$9,Assumptions!$B$11:$B$11)=A58,"بله","خیر")</x:f>
        <x:v>بله</x:v>
      </x:c>
      <x:c r="D58" s="24" t="str">
        <x:f>IF(COUNTIF(Assumptions!$B$11:$B$11,A58)&gt;0,"تعطیلی فرضی",IF(C58="خیر","تعطیلی هفتگی",""))</x:f>
      </x:c>
    </x:row>
    <x:row r="59" ht="34" customHeight="1">
      <x:c r="A59" s="48" t="n">
        <x:f>Assumptions!$B$7+51</x:f>
        <x:v>46349</x:v>
      </x:c>
      <x:c r="B59" s="24" t="n">
        <x:f>WEEKDAY(A59,2)</x:f>
        <x:v>1</x:v>
      </x:c>
      <x:c r="C59" s="46" t="str">
        <x:f>IF(WORKDAY.INTL(A59-1,1,Assumptions!$B$9,Assumptions!$B$11:$B$11)=A59,"بله","خیر")</x:f>
        <x:v>بله</x:v>
      </x:c>
      <x:c r="D59" s="24" t="str">
        <x:f>IF(COUNTIF(Assumptions!$B$11:$B$11,A59)&gt;0,"تعطیلی فرضی",IF(C59="خیر","تعطیلی هفتگی",""))</x:f>
      </x:c>
    </x:row>
    <x:row r="60" ht="34" customHeight="1">
      <x:c r="A60" s="48" t="n">
        <x:f>Assumptions!$B$7+52</x:f>
        <x:v>46350</x:v>
      </x:c>
      <x:c r="B60" s="24" t="n">
        <x:f>WEEKDAY(A60,2)</x:f>
        <x:v>2</x:v>
      </x:c>
      <x:c r="C60" s="46" t="str">
        <x:f>IF(WORKDAY.INTL(A60-1,1,Assumptions!$B$9,Assumptions!$B$11:$B$11)=A60,"بله","خیر")</x:f>
        <x:v>بله</x:v>
      </x:c>
      <x:c r="D60" s="24" t="str">
        <x:f>IF(COUNTIF(Assumptions!$B$11:$B$11,A60)&gt;0,"تعطیلی فرضی",IF(C60="خیر","تعطیلی هفتگی",""))</x:f>
      </x:c>
    </x:row>
    <x:row r="61" ht="34" customHeight="1">
      <x:c r="A61" s="48" t="n">
        <x:f>Assumptions!$B$7+53</x:f>
        <x:v>46351</x:v>
      </x:c>
      <x:c r="B61" s="24" t="n">
        <x:f>WEEKDAY(A61,2)</x:f>
        <x:v>3</x:v>
      </x:c>
      <x:c r="C61" s="46" t="str">
        <x:f>IF(WORKDAY.INTL(A61-1,1,Assumptions!$B$9,Assumptions!$B$11:$B$11)=A61,"بله","خیر")</x:f>
        <x:v>بله</x:v>
      </x:c>
      <x:c r="D61" s="24" t="str">
        <x:f>IF(COUNTIF(Assumptions!$B$11:$B$11,A61)&gt;0,"تعطیلی فرضی",IF(C61="خیر","تعطیلی هفتگی",""))</x:f>
      </x:c>
    </x:row>
    <x:row r="62" ht="34" customHeight="1">
      <x:c r="A62" s="48" t="n">
        <x:f>Assumptions!$B$7+54</x:f>
        <x:v>46352</x:v>
      </x:c>
      <x:c r="B62" s="24" t="n">
        <x:f>WEEKDAY(A62,2)</x:f>
        <x:v>4</x:v>
      </x:c>
      <x:c r="C62" s="46" t="str">
        <x:f>IF(WORKDAY.INTL(A62-1,1,Assumptions!$B$9,Assumptions!$B$11:$B$11)=A62,"بله","خیر")</x:f>
        <x:v>بله</x:v>
      </x:c>
      <x:c r="D62" s="24" t="str">
        <x:f>IF(COUNTIF(Assumptions!$B$11:$B$11,A62)&gt;0,"تعطیلی فرضی",IF(C62="خیر","تعطیلی هفتگی",""))</x:f>
      </x:c>
    </x:row>
    <x:row r="63" ht="34" customHeight="1">
      <x:c r="A63" s="48" t="n">
        <x:f>Assumptions!$B$7+55</x:f>
        <x:v>46353</x:v>
      </x:c>
      <x:c r="B63" s="24" t="n">
        <x:f>WEEKDAY(A63,2)</x:f>
        <x:v>5</x:v>
      </x:c>
      <x:c r="C63" s="46" t="str">
        <x:f>IF(WORKDAY.INTL(A63-1,1,Assumptions!$B$9,Assumptions!$B$11:$B$11)=A63,"بله","خیر")</x:f>
        <x:v>خیر</x:v>
      </x:c>
      <x:c r="D63" s="46" t="str">
        <x:f>IF(COUNTIF(Assumptions!$B$11:$B$11,A63)&gt;0,"تعطیلی فرضی",IF(C63="خیر","تعطیلی هفتگی",""))</x:f>
        <x:v>تعطیلی هفتگی</x:v>
      </x:c>
    </x:row>
    <x:row r="64" ht="34" customHeight="1">
      <x:c r="A64" s="48" t="n">
        <x:f>Assumptions!$B$7+56</x:f>
        <x:v>46354</x:v>
      </x:c>
      <x:c r="B64" s="24" t="n">
        <x:f>WEEKDAY(A64,2)</x:f>
        <x:v>6</x:v>
      </x:c>
      <x:c r="C64" s="46" t="str">
        <x:f>IF(WORKDAY.INTL(A64-1,1,Assumptions!$B$9,Assumptions!$B$11:$B$11)=A64,"بله","خیر")</x:f>
        <x:v>بله</x:v>
      </x:c>
      <x:c r="D64" s="24" t="str">
        <x:f>IF(COUNTIF(Assumptions!$B$11:$B$11,A64)&gt;0,"تعطیلی فرضی",IF(C64="خیر","تعطیلی هفتگی",""))</x:f>
      </x:c>
    </x:row>
    <x:row r="65" ht="34" customHeight="1">
      <x:c r="A65" s="48" t="n">
        <x:f>Assumptions!$B$7+57</x:f>
        <x:v>46355</x:v>
      </x:c>
      <x:c r="B65" s="24" t="n">
        <x:f>WEEKDAY(A65,2)</x:f>
        <x:v>7</x:v>
      </x:c>
      <x:c r="C65" s="46" t="str">
        <x:f>IF(WORKDAY.INTL(A65-1,1,Assumptions!$B$9,Assumptions!$B$11:$B$11)=A65,"بله","خیر")</x:f>
        <x:v>بله</x:v>
      </x:c>
      <x:c r="D65" s="24" t="str">
        <x:f>IF(COUNTIF(Assumptions!$B$11:$B$11,A65)&gt;0,"تعطیلی فرضی",IF(C65="خیر","تعطیلی هفتگی",""))</x:f>
      </x:c>
    </x:row>
    <x:row r="66" ht="34" customHeight="1">
      <x:c r="A66" s="48" t="n">
        <x:f>Assumptions!$B$7+58</x:f>
        <x:v>46356</x:v>
      </x:c>
      <x:c r="B66" s="24" t="n">
        <x:f>WEEKDAY(A66,2)</x:f>
        <x:v>1</x:v>
      </x:c>
      <x:c r="C66" s="46" t="str">
        <x:f>IF(WORKDAY.INTL(A66-1,1,Assumptions!$B$9,Assumptions!$B$11:$B$11)=A66,"بله","خیر")</x:f>
        <x:v>بله</x:v>
      </x:c>
      <x:c r="D66" s="24" t="str">
        <x:f>IF(COUNTIF(Assumptions!$B$11:$B$11,A66)&gt;0,"تعطیلی فرضی",IF(C66="خیر","تعطیلی هفتگی",""))</x:f>
      </x:c>
    </x:row>
    <x:row r="67" ht="34" customHeight="1">
      <x:c r="A67" s="48" t="n">
        <x:f>Assumptions!$B$7+59</x:f>
        <x:v>46357</x:v>
      </x:c>
      <x:c r="B67" s="24" t="n">
        <x:f>WEEKDAY(A67,2)</x:f>
        <x:v>2</x:v>
      </x:c>
      <x:c r="C67" s="46" t="str">
        <x:f>IF(WORKDAY.INTL(A67-1,1,Assumptions!$B$9,Assumptions!$B$11:$B$11)=A67,"بله","خیر")</x:f>
        <x:v>بله</x:v>
      </x:c>
      <x:c r="D67" s="24" t="str">
        <x:f>IF(COUNTIF(Assumptions!$B$11:$B$11,A67)&gt;0,"تعطیلی فرضی",IF(C67="خیر","تعطیلی هفتگی",""))</x:f>
      </x:c>
    </x:row>
    <x:row r="68" ht="34" customHeight="1">
      <x:c r="A68" s="48" t="n">
        <x:f>Assumptions!$B$7+60</x:f>
        <x:v>46358</x:v>
      </x:c>
      <x:c r="B68" s="24" t="n">
        <x:f>WEEKDAY(A68,2)</x:f>
        <x:v>3</x:v>
      </x:c>
      <x:c r="C68" s="46" t="str">
        <x:f>IF(WORKDAY.INTL(A68-1,1,Assumptions!$B$9,Assumptions!$B$11:$B$11)=A68,"بله","خیر")</x:f>
        <x:v>بله</x:v>
      </x:c>
      <x:c r="D68" s="24" t="str">
        <x:f>IF(COUNTIF(Assumptions!$B$11:$B$11,A68)&gt;0,"تعطیلی فرضی",IF(C68="خیر","تعطیلی هفتگی",""))</x:f>
      </x:c>
    </x:row>
    <x:row r="69" ht="34" customHeight="1">
      <x:c r="A69" s="48" t="n">
        <x:f>Assumptions!$B$7+61</x:f>
        <x:v>46359</x:v>
      </x:c>
      <x:c r="B69" s="24" t="n">
        <x:f>WEEKDAY(A69,2)</x:f>
        <x:v>4</x:v>
      </x:c>
      <x:c r="C69" s="46" t="str">
        <x:f>IF(WORKDAY.INTL(A69-1,1,Assumptions!$B$9,Assumptions!$B$11:$B$11)=A69,"بله","خیر")</x:f>
        <x:v>بله</x:v>
      </x:c>
      <x:c r="D69" s="24" t="str">
        <x:f>IF(COUNTIF(Assumptions!$B$11:$B$11,A69)&gt;0,"تعطیلی فرضی",IF(C69="خیر","تعطیلی هفتگی",""))</x:f>
      </x:c>
    </x:row>
    <x:row r="70" ht="34" customHeight="1">
      <x:c r="A70" s="48" t="n">
        <x:f>Assumptions!$B$7+62</x:f>
        <x:v>46360</x:v>
      </x:c>
      <x:c r="B70" s="24" t="n">
        <x:f>WEEKDAY(A70,2)</x:f>
        <x:v>5</x:v>
      </x:c>
      <x:c r="C70" s="46" t="str">
        <x:f>IF(WORKDAY.INTL(A70-1,1,Assumptions!$B$9,Assumptions!$B$11:$B$11)=A70,"بله","خیر")</x:f>
        <x:v>خیر</x:v>
      </x:c>
      <x:c r="D70" s="46" t="str">
        <x:f>IF(COUNTIF(Assumptions!$B$11:$B$11,A70)&gt;0,"تعطیلی فرضی",IF(C70="خیر","تعطیلی هفتگی",""))</x:f>
        <x:v>تعطیلی هفتگی</x:v>
      </x:c>
    </x:row>
    <x:row r="71" ht="34" customHeight="1">
      <x:c r="A71" s="48" t="n">
        <x:f>Assumptions!$B$7+63</x:f>
        <x:v>46361</x:v>
      </x:c>
      <x:c r="B71" s="24" t="n">
        <x:f>WEEKDAY(A71,2)</x:f>
        <x:v>6</x:v>
      </x:c>
      <x:c r="C71" s="46" t="str">
        <x:f>IF(WORKDAY.INTL(A71-1,1,Assumptions!$B$9,Assumptions!$B$11:$B$11)=A71,"بله","خیر")</x:f>
        <x:v>بله</x:v>
      </x:c>
      <x:c r="D71" s="24" t="str">
        <x:f>IF(COUNTIF(Assumptions!$B$11:$B$11,A71)&gt;0,"تعطیلی فرضی",IF(C71="خیر","تعطیلی هفتگی",""))</x:f>
      </x:c>
    </x:row>
    <x:row r="72" ht="34" customHeight="1">
      <x:c r="A72" s="48" t="n">
        <x:f>Assumptions!$B$7+64</x:f>
        <x:v>46362</x:v>
      </x:c>
      <x:c r="B72" s="24" t="n">
        <x:f>WEEKDAY(A72,2)</x:f>
        <x:v>7</x:v>
      </x:c>
      <x:c r="C72" s="46" t="str">
        <x:f>IF(WORKDAY.INTL(A72-1,1,Assumptions!$B$9,Assumptions!$B$11:$B$11)=A72,"بله","خیر")</x:f>
        <x:v>بله</x:v>
      </x:c>
      <x:c r="D72" s="24" t="str">
        <x:f>IF(COUNTIF(Assumptions!$B$11:$B$11,A72)&gt;0,"تعطیلی فرضی",IF(C72="خیر","تعطیلی هفتگی",""))</x:f>
      </x:c>
    </x:row>
    <x:row r="73" ht="34" customHeight="1">
      <x:c r="A73" s="48" t="n">
        <x:f>Assumptions!$B$7+65</x:f>
        <x:v>46363</x:v>
      </x:c>
      <x:c r="B73" s="24" t="n">
        <x:f>WEEKDAY(A73,2)</x:f>
        <x:v>1</x:v>
      </x:c>
      <x:c r="C73" s="46" t="str">
        <x:f>IF(WORKDAY.INTL(A73-1,1,Assumptions!$B$9,Assumptions!$B$11:$B$11)=A73,"بله","خیر")</x:f>
        <x:v>بله</x:v>
      </x:c>
      <x:c r="D73" s="24" t="str">
        <x:f>IF(COUNTIF(Assumptions!$B$11:$B$11,A73)&gt;0,"تعطیلی فرضی",IF(C73="خیر","تعطیلی هفتگی",""))</x:f>
      </x:c>
    </x:row>
    <x:row r="74" ht="34" customHeight="1">
      <x:c r="A74" s="48" t="n">
        <x:f>Assumptions!$B$7+66</x:f>
        <x:v>46364</x:v>
      </x:c>
      <x:c r="B74" s="24" t="n">
        <x:f>WEEKDAY(A74,2)</x:f>
        <x:v>2</x:v>
      </x:c>
      <x:c r="C74" s="46" t="str">
        <x:f>IF(WORKDAY.INTL(A74-1,1,Assumptions!$B$9,Assumptions!$B$11:$B$11)=A74,"بله","خیر")</x:f>
        <x:v>بله</x:v>
      </x:c>
      <x:c r="D74" s="24" t="str">
        <x:f>IF(COUNTIF(Assumptions!$B$11:$B$11,A74)&gt;0,"تعطیلی فرضی",IF(C74="خیر","تعطیلی هفتگی",""))</x:f>
      </x:c>
    </x:row>
    <x:row r="75" ht="34" customHeight="1">
      <x:c r="A75" s="48" t="n">
        <x:f>Assumptions!$B$7+67</x:f>
        <x:v>46365</x:v>
      </x:c>
      <x:c r="B75" s="24" t="n">
        <x:f>WEEKDAY(A75,2)</x:f>
        <x:v>3</x:v>
      </x:c>
      <x:c r="C75" s="46" t="str">
        <x:f>IF(WORKDAY.INTL(A75-1,1,Assumptions!$B$9,Assumptions!$B$11:$B$11)=A75,"بله","خیر")</x:f>
        <x:v>بله</x:v>
      </x:c>
      <x:c r="D75" s="24" t="str">
        <x:f>IF(COUNTIF(Assumptions!$B$11:$B$11,A75)&gt;0,"تعطیلی فرضی",IF(C75="خیر","تعطیلی هفتگی",""))</x:f>
      </x:c>
    </x:row>
    <x:row r="76" ht="34" customHeight="1">
      <x:c r="A76" s="48" t="n">
        <x:f>Assumptions!$B$7+68</x:f>
        <x:v>46366</x:v>
      </x:c>
      <x:c r="B76" s="24" t="n">
        <x:f>WEEKDAY(A76,2)</x:f>
        <x:v>4</x:v>
      </x:c>
      <x:c r="C76" s="46" t="str">
        <x:f>IF(WORKDAY.INTL(A76-1,1,Assumptions!$B$9,Assumptions!$B$11:$B$11)=A76,"بله","خیر")</x:f>
        <x:v>بله</x:v>
      </x:c>
      <x:c r="D76" s="24" t="str">
        <x:f>IF(COUNTIF(Assumptions!$B$11:$B$11,A76)&gt;0,"تعطیلی فرضی",IF(C76="خیر","تعطیلی هفتگی",""))</x:f>
      </x:c>
    </x:row>
    <x:row r="77" ht="34" customHeight="1">
      <x:c r="A77" s="48" t="n">
        <x:f>Assumptions!$B$7+69</x:f>
        <x:v>46367</x:v>
      </x:c>
      <x:c r="B77" s="24" t="n">
        <x:f>WEEKDAY(A77,2)</x:f>
        <x:v>5</x:v>
      </x:c>
      <x:c r="C77" s="46" t="str">
        <x:f>IF(WORKDAY.INTL(A77-1,1,Assumptions!$B$9,Assumptions!$B$11:$B$11)=A77,"بله","خیر")</x:f>
        <x:v>خیر</x:v>
      </x:c>
      <x:c r="D77" s="46" t="str">
        <x:f>IF(COUNTIF(Assumptions!$B$11:$B$11,A77)&gt;0,"تعطیلی فرضی",IF(C77="خیر","تعطیلی هفتگی",""))</x:f>
        <x:v>تعطیلی هفتگی</x:v>
      </x:c>
    </x:row>
    <x:row r="78" ht="34" customHeight="1">
      <x:c r="A78" s="48" t="n">
        <x:f>Assumptions!$B$7+70</x:f>
        <x:v>46368</x:v>
      </x:c>
      <x:c r="B78" s="24" t="n">
        <x:f>WEEKDAY(A78,2)</x:f>
        <x:v>6</x:v>
      </x:c>
      <x:c r="C78" s="46" t="str">
        <x:f>IF(WORKDAY.INTL(A78-1,1,Assumptions!$B$9,Assumptions!$B$11:$B$11)=A78,"بله","خیر")</x:f>
        <x:v>بله</x:v>
      </x:c>
      <x:c r="D78" s="24" t="str">
        <x:f>IF(COUNTIF(Assumptions!$B$11:$B$11,A78)&gt;0,"تعطیلی فرضی",IF(C78="خیر","تعطیلی هفتگی",""))</x:f>
      </x:c>
    </x:row>
    <x:row r="79" ht="34" customHeight="1">
      <x:c r="A79" s="48" t="n">
        <x:f>Assumptions!$B$7+71</x:f>
        <x:v>46369</x:v>
      </x:c>
      <x:c r="B79" s="24" t="n">
        <x:f>WEEKDAY(A79,2)</x:f>
        <x:v>7</x:v>
      </x:c>
      <x:c r="C79" s="46" t="str">
        <x:f>IF(WORKDAY.INTL(A79-1,1,Assumptions!$B$9,Assumptions!$B$11:$B$11)=A79,"بله","خیر")</x:f>
        <x:v>بله</x:v>
      </x:c>
      <x:c r="D79" s="24" t="str">
        <x:f>IF(COUNTIF(Assumptions!$B$11:$B$11,A79)&gt;0,"تعطیلی فرضی",IF(C79="خیر","تعطیلی هفتگی",""))</x:f>
      </x:c>
    </x:row>
    <x:row r="80" ht="34" customHeight="1">
      <x:c r="A80" s="48" t="n">
        <x:f>Assumptions!$B$7+72</x:f>
        <x:v>46370</x:v>
      </x:c>
      <x:c r="B80" s="24" t="n">
        <x:f>WEEKDAY(A80,2)</x:f>
        <x:v>1</x:v>
      </x:c>
      <x:c r="C80" s="46" t="str">
        <x:f>IF(WORKDAY.INTL(A80-1,1,Assumptions!$B$9,Assumptions!$B$11:$B$11)=A80,"بله","خیر")</x:f>
        <x:v>بله</x:v>
      </x:c>
      <x:c r="D80" s="24" t="str">
        <x:f>IF(COUNTIF(Assumptions!$B$11:$B$11,A80)&gt;0,"تعطیلی فرضی",IF(C80="خیر","تعطیلی هفتگی",""))</x:f>
      </x:c>
    </x:row>
    <x:row r="81" ht="34" customHeight="1">
      <x:c r="A81" s="48" t="n">
        <x:f>Assumptions!$B$7+73</x:f>
        <x:v>46371</x:v>
      </x:c>
      <x:c r="B81" s="24" t="n">
        <x:f>WEEKDAY(A81,2)</x:f>
        <x:v>2</x:v>
      </x:c>
      <x:c r="C81" s="46" t="str">
        <x:f>IF(WORKDAY.INTL(A81-1,1,Assumptions!$B$9,Assumptions!$B$11:$B$11)=A81,"بله","خیر")</x:f>
        <x:v>بله</x:v>
      </x:c>
      <x:c r="D81" s="24" t="str">
        <x:f>IF(COUNTIF(Assumptions!$B$11:$B$11,A81)&gt;0,"تعطیلی فرضی",IF(C81="خیر","تعطیلی هفتگی",""))</x:f>
      </x:c>
    </x:row>
    <x:row r="82" ht="34" customHeight="1">
      <x:c r="A82" s="48" t="n">
        <x:f>Assumptions!$B$7+74</x:f>
        <x:v>46372</x:v>
      </x:c>
      <x:c r="B82" s="24" t="n">
        <x:f>WEEKDAY(A82,2)</x:f>
        <x:v>3</x:v>
      </x:c>
      <x:c r="C82" s="46" t="str">
        <x:f>IF(WORKDAY.INTL(A82-1,1,Assumptions!$B$9,Assumptions!$B$11:$B$11)=A82,"بله","خیر")</x:f>
        <x:v>بله</x:v>
      </x:c>
      <x:c r="D82" s="24" t="str">
        <x:f>IF(COUNTIF(Assumptions!$B$11:$B$11,A82)&gt;0,"تعطیلی فرضی",IF(C82="خیر","تعطیلی هفتگی",""))</x:f>
      </x:c>
    </x:row>
    <x:row r="83" ht="34" customHeight="1">
      <x:c r="A83" s="48" t="n">
        <x:f>Assumptions!$B$7+75</x:f>
        <x:v>46373</x:v>
      </x:c>
      <x:c r="B83" s="24" t="n">
        <x:f>WEEKDAY(A83,2)</x:f>
        <x:v>4</x:v>
      </x:c>
      <x:c r="C83" s="46" t="str">
        <x:f>IF(WORKDAY.INTL(A83-1,1,Assumptions!$B$9,Assumptions!$B$11:$B$11)=A83,"بله","خیر")</x:f>
        <x:v>بله</x:v>
      </x:c>
      <x:c r="D83" s="24" t="str">
        <x:f>IF(COUNTIF(Assumptions!$B$11:$B$11,A83)&gt;0,"تعطیلی فرضی",IF(C83="خیر","تعطیلی هفتگی",""))</x:f>
      </x:c>
    </x:row>
    <x:row r="84" ht="34" customHeight="1">
      <x:c r="A84" s="48" t="n">
        <x:f>Assumptions!$B$7+76</x:f>
        <x:v>46374</x:v>
      </x:c>
      <x:c r="B84" s="24" t="n">
        <x:f>WEEKDAY(A84,2)</x:f>
        <x:v>5</x:v>
      </x:c>
      <x:c r="C84" s="46" t="str">
        <x:f>IF(WORKDAY.INTL(A84-1,1,Assumptions!$B$9,Assumptions!$B$11:$B$11)=A84,"بله","خیر")</x:f>
        <x:v>خیر</x:v>
      </x:c>
      <x:c r="D84" s="46" t="str">
        <x:f>IF(COUNTIF(Assumptions!$B$11:$B$11,A84)&gt;0,"تعطیلی فرضی",IF(C84="خیر","تعطیلی هفتگی",""))</x:f>
        <x:v>تعطیلی هفتگی</x:v>
      </x:c>
    </x:row>
    <x:row r="85" ht="34" customHeight="1">
      <x:c r="A85" s="48" t="n">
        <x:f>Assumptions!$B$7+77</x:f>
        <x:v>46375</x:v>
      </x:c>
      <x:c r="B85" s="24" t="n">
        <x:f>WEEKDAY(A85,2)</x:f>
        <x:v>6</x:v>
      </x:c>
      <x:c r="C85" s="46" t="str">
        <x:f>IF(WORKDAY.INTL(A85-1,1,Assumptions!$B$9,Assumptions!$B$11:$B$11)=A85,"بله","خیر")</x:f>
        <x:v>بله</x:v>
      </x:c>
      <x:c r="D85" s="24" t="str">
        <x:f>IF(COUNTIF(Assumptions!$B$11:$B$11,A85)&gt;0,"تعطیلی فرضی",IF(C85="خیر","تعطیلی هفتگی",""))</x:f>
      </x:c>
    </x:row>
    <x:row r="86" ht="34" customHeight="1">
      <x:c r="A86" s="48" t="n">
        <x:f>Assumptions!$B$7+78</x:f>
        <x:v>46376</x:v>
      </x:c>
      <x:c r="B86" s="24" t="n">
        <x:f>WEEKDAY(A86,2)</x:f>
        <x:v>7</x:v>
      </x:c>
      <x:c r="C86" s="46" t="str">
        <x:f>IF(WORKDAY.INTL(A86-1,1,Assumptions!$B$9,Assumptions!$B$11:$B$11)=A86,"بله","خیر")</x:f>
        <x:v>بله</x:v>
      </x:c>
      <x:c r="D86" s="24" t="str">
        <x:f>IF(COUNTIF(Assumptions!$B$11:$B$11,A86)&gt;0,"تعطیلی فرضی",IF(C86="خیر","تعطیلی هفتگی",""))</x:f>
      </x:c>
    </x:row>
    <x:row r="87" ht="34" customHeight="1">
      <x:c r="A87" s="48" t="n">
        <x:f>Assumptions!$B$7+79</x:f>
        <x:v>46377</x:v>
      </x:c>
      <x:c r="B87" s="24" t="n">
        <x:f>WEEKDAY(A87,2)</x:f>
        <x:v>1</x:v>
      </x:c>
      <x:c r="C87" s="46" t="str">
        <x:f>IF(WORKDAY.INTL(A87-1,1,Assumptions!$B$9,Assumptions!$B$11:$B$11)=A87,"بله","خیر")</x:f>
        <x:v>بله</x:v>
      </x:c>
      <x:c r="D87" s="24" t="str">
        <x:f>IF(COUNTIF(Assumptions!$B$11:$B$11,A87)&gt;0,"تعطیلی فرضی",IF(C87="خیر","تعطیلی هفتگی",""))</x:f>
      </x:c>
    </x:row>
    <x:row r="88" ht="34" customHeight="1">
      <x:c r="A88" s="48" t="n">
        <x:f>Assumptions!$B$7+80</x:f>
        <x:v>46378</x:v>
      </x:c>
      <x:c r="B88" s="24" t="n">
        <x:f>WEEKDAY(A88,2)</x:f>
        <x:v>2</x:v>
      </x:c>
      <x:c r="C88" s="46" t="str">
        <x:f>IF(WORKDAY.INTL(A88-1,1,Assumptions!$B$9,Assumptions!$B$11:$B$11)=A88,"بله","خیر")</x:f>
        <x:v>بله</x:v>
      </x:c>
      <x:c r="D88" s="24" t="str">
        <x:f>IF(COUNTIF(Assumptions!$B$11:$B$11,A88)&gt;0,"تعطیلی فرضی",IF(C88="خیر","تعطیلی هفتگی",""))</x:f>
      </x:c>
    </x:row>
    <x:row r="89" ht="34" customHeight="1">
      <x:c r="A89" s="48" t="n">
        <x:f>Assumptions!$B$7+81</x:f>
        <x:v>46379</x:v>
      </x:c>
      <x:c r="B89" s="24" t="n">
        <x:f>WEEKDAY(A89,2)</x:f>
        <x:v>3</x:v>
      </x:c>
      <x:c r="C89" s="46" t="str">
        <x:f>IF(WORKDAY.INTL(A89-1,1,Assumptions!$B$9,Assumptions!$B$11:$B$11)=A89,"بله","خیر")</x:f>
        <x:v>بله</x:v>
      </x:c>
      <x:c r="D89" s="24" t="str">
        <x:f>IF(COUNTIF(Assumptions!$B$11:$B$11,A89)&gt;0,"تعطیلی فرضی",IF(C89="خیر","تعطیلی هفتگی",""))</x:f>
      </x:c>
    </x:row>
    <x:row r="90" ht="34" customHeight="1">
      <x:c r="A90" s="48" t="n">
        <x:f>Assumptions!$B$7+82</x:f>
        <x:v>46380</x:v>
      </x:c>
      <x:c r="B90" s="24" t="n">
        <x:f>WEEKDAY(A90,2)</x:f>
        <x:v>4</x:v>
      </x:c>
      <x:c r="C90" s="46" t="str">
        <x:f>IF(WORKDAY.INTL(A90-1,1,Assumptions!$B$9,Assumptions!$B$11:$B$11)=A90,"بله","خیر")</x:f>
        <x:v>بله</x:v>
      </x:c>
      <x:c r="D90" s="24" t="str">
        <x:f>IF(COUNTIF(Assumptions!$B$11:$B$11,A90)&gt;0,"تعطیلی فرضی",IF(C90="خیر","تعطیلی هفتگی",""))</x:f>
      </x:c>
    </x:row>
    <x:row r="91" ht="34" customHeight="1">
      <x:c r="A91" s="48" t="n">
        <x:f>Assumptions!$B$7+83</x:f>
        <x:v>46381</x:v>
      </x:c>
      <x:c r="B91" s="24" t="n">
        <x:f>WEEKDAY(A91,2)</x:f>
        <x:v>5</x:v>
      </x:c>
      <x:c r="C91" s="46" t="str">
        <x:f>IF(WORKDAY.INTL(A91-1,1,Assumptions!$B$9,Assumptions!$B$11:$B$11)=A91,"بله","خیر")</x:f>
        <x:v>خیر</x:v>
      </x:c>
      <x:c r="D91" s="46" t="str">
        <x:f>IF(COUNTIF(Assumptions!$B$11:$B$11,A91)&gt;0,"تعطیلی فرضی",IF(C91="خیر","تعطیلی هفتگی",""))</x:f>
        <x:v>تعطیلی هفتگی</x:v>
      </x:c>
    </x:row>
    <x:row r="92" ht="34" customHeight="1">
      <x:c r="A92" s="48" t="n">
        <x:f>Assumptions!$B$7+84</x:f>
        <x:v>46382</x:v>
      </x:c>
      <x:c r="B92" s="24" t="n">
        <x:f>WEEKDAY(A92,2)</x:f>
        <x:v>6</x:v>
      </x:c>
      <x:c r="C92" s="46" t="str">
        <x:f>IF(WORKDAY.INTL(A92-1,1,Assumptions!$B$9,Assumptions!$B$11:$B$11)=A92,"بله","خیر")</x:f>
        <x:v>بله</x:v>
      </x:c>
      <x:c r="D92" s="24" t="str">
        <x:f>IF(COUNTIF(Assumptions!$B$11:$B$11,A92)&gt;0,"تعطیلی فرضی",IF(C92="خیر","تعطیلی هفتگی",""))</x:f>
      </x:c>
    </x:row>
    <x:row r="93" ht="34" customHeight="1">
      <x:c r="A93" s="48" t="n">
        <x:f>Assumptions!$B$7+85</x:f>
        <x:v>46383</x:v>
      </x:c>
      <x:c r="B93" s="24" t="n">
        <x:f>WEEKDAY(A93,2)</x:f>
        <x:v>7</x:v>
      </x:c>
      <x:c r="C93" s="46" t="str">
        <x:f>IF(WORKDAY.INTL(A93-1,1,Assumptions!$B$9,Assumptions!$B$11:$B$11)=A93,"بله","خیر")</x:f>
        <x:v>بله</x:v>
      </x:c>
      <x:c r="D93" s="24" t="str">
        <x:f>IF(COUNTIF(Assumptions!$B$11:$B$11,A93)&gt;0,"تعطیلی فرضی",IF(C93="خیر","تعطیلی هفتگی",""))</x:f>
      </x:c>
    </x:row>
    <x:row r="94" ht="34" customHeight="1">
      <x:c r="A94" s="48" t="n">
        <x:f>Assumptions!$B$7+86</x:f>
        <x:v>46384</x:v>
      </x:c>
      <x:c r="B94" s="24" t="n">
        <x:f>WEEKDAY(A94,2)</x:f>
        <x:v>1</x:v>
      </x:c>
      <x:c r="C94" s="46" t="str">
        <x:f>IF(WORKDAY.INTL(A94-1,1,Assumptions!$B$9,Assumptions!$B$11:$B$11)=A94,"بله","خیر")</x:f>
        <x:v>بله</x:v>
      </x:c>
      <x:c r="D94" s="24" t="str">
        <x:f>IF(COUNTIF(Assumptions!$B$11:$B$11,A94)&gt;0,"تعطیلی فرضی",IF(C94="خیر","تعطیلی هفتگی",""))</x:f>
      </x:c>
    </x:row>
    <x:row r="95" ht="34" customHeight="1">
      <x:c r="A95" s="48" t="n">
        <x:f>Assumptions!$B$7+87</x:f>
        <x:v>46385</x:v>
      </x:c>
      <x:c r="B95" s="24" t="n">
        <x:f>WEEKDAY(A95,2)</x:f>
        <x:v>2</x:v>
      </x:c>
      <x:c r="C95" s="46" t="str">
        <x:f>IF(WORKDAY.INTL(A95-1,1,Assumptions!$B$9,Assumptions!$B$11:$B$11)=A95,"بله","خیر")</x:f>
        <x:v>بله</x:v>
      </x:c>
      <x:c r="D95" s="24" t="str">
        <x:f>IF(COUNTIF(Assumptions!$B$11:$B$11,A95)&gt;0,"تعطیلی فرضی",IF(C95="خیر","تعطیلی هفتگی",""))</x:f>
      </x:c>
    </x:row>
    <x:row r="96" ht="34" customHeight="1">
      <x:c r="A96" s="48" t="n">
        <x:f>Assumptions!$B$7+88</x:f>
        <x:v>46386</x:v>
      </x:c>
      <x:c r="B96" s="24" t="n">
        <x:f>WEEKDAY(A96,2)</x:f>
        <x:v>3</x:v>
      </x:c>
      <x:c r="C96" s="46" t="str">
        <x:f>IF(WORKDAY.INTL(A96-1,1,Assumptions!$B$9,Assumptions!$B$11:$B$11)=A96,"بله","خیر")</x:f>
        <x:v>بله</x:v>
      </x:c>
      <x:c r="D96" s="24" t="str">
        <x:f>IF(COUNTIF(Assumptions!$B$11:$B$11,A96)&gt;0,"تعطیلی فرضی",IF(C96="خیر","تعطیلی هفتگی",""))</x:f>
      </x:c>
    </x:row>
    <x:row r="97" ht="34" customHeight="1">
      <x:c r="A97" s="48" t="n">
        <x:f>Assumptions!$B$7+89</x:f>
        <x:v>46387</x:v>
      </x:c>
      <x:c r="B97" s="24" t="n">
        <x:f>WEEKDAY(A97,2)</x:f>
        <x:v>4</x:v>
      </x:c>
      <x:c r="C97" s="46" t="str">
        <x:f>IF(WORKDAY.INTL(A97-1,1,Assumptions!$B$9,Assumptions!$B$11:$B$11)=A97,"بله","خیر")</x:f>
        <x:v>بله</x:v>
      </x:c>
      <x:c r="D97" s="24" t="str">
        <x:f>IF(COUNTIF(Assumptions!$B$11:$B$11,A97)&gt;0,"تعطیلی فرضی",IF(C97="خیر","تعطیلی هفتگی",""))</x:f>
      </x:c>
    </x:row>
    <x:row r="98" ht="34" customHeight="1">
      <x:c r="A98" s="48" t="n">
        <x:f>Assumptions!$B$7+90</x:f>
        <x:v>46388</x:v>
      </x:c>
      <x:c r="B98" s="24" t="n">
        <x:f>WEEKDAY(A98,2)</x:f>
        <x:v>5</x:v>
      </x:c>
      <x:c r="C98" s="46" t="str">
        <x:f>IF(WORKDAY.INTL(A98-1,1,Assumptions!$B$9,Assumptions!$B$11:$B$11)=A98,"بله","خیر")</x:f>
        <x:v>خیر</x:v>
      </x:c>
      <x:c r="D98" s="46" t="str">
        <x:f>IF(COUNTIF(Assumptions!$B$11:$B$11,A98)&gt;0,"تعطیلی فرضی",IF(C98="خیر","تعطیلی هفتگی",""))</x:f>
        <x:v>تعطیلی هفتگی</x:v>
      </x:c>
    </x:row>
    <x:row r="99" ht="34" customHeight="1">
      <x:c r="A99" s="48" t="n">
        <x:f>Assumptions!$B$7+91</x:f>
        <x:v>46389</x:v>
      </x:c>
      <x:c r="B99" s="24" t="n">
        <x:f>WEEKDAY(A99,2)</x:f>
        <x:v>6</x:v>
      </x:c>
      <x:c r="C99" s="46" t="str">
        <x:f>IF(WORKDAY.INTL(A99-1,1,Assumptions!$B$9,Assumptions!$B$11:$B$11)=A99,"بله","خیر")</x:f>
        <x:v>بله</x:v>
      </x:c>
      <x:c r="D99" s="24" t="str">
        <x:f>IF(COUNTIF(Assumptions!$B$11:$B$11,A99)&gt;0,"تعطیلی فرضی",IF(C99="خیر","تعطیلی هفتگی",""))</x:f>
      </x:c>
    </x:row>
    <x:row r="100" ht="34" customHeight="1">
      <x:c r="A100" s="48" t="n">
        <x:f>Assumptions!$B$7+92</x:f>
        <x:v>46390</x:v>
      </x:c>
      <x:c r="B100" s="24" t="n">
        <x:f>WEEKDAY(A100,2)</x:f>
        <x:v>7</x:v>
      </x:c>
      <x:c r="C100" s="46" t="str">
        <x:f>IF(WORKDAY.INTL(A100-1,1,Assumptions!$B$9,Assumptions!$B$11:$B$11)=A100,"بله","خیر")</x:f>
        <x:v>بله</x:v>
      </x:c>
      <x:c r="D100" s="24" t="str">
        <x:f>IF(COUNTIF(Assumptions!$B$11:$B$11,A100)&gt;0,"تعطیلی فرضی",IF(C100="خیر","تعطیلی هفتگی",""))</x:f>
      </x:c>
    </x:row>
    <x:row r="101" ht="34" customHeight="1">
      <x:c r="A101" s="48" t="n">
        <x:f>Assumptions!$B$7+93</x:f>
        <x:v>46391</x:v>
      </x:c>
      <x:c r="B101" s="24" t="n">
        <x:f>WEEKDAY(A101,2)</x:f>
        <x:v>1</x:v>
      </x:c>
      <x:c r="C101" s="46" t="str">
        <x:f>IF(WORKDAY.INTL(A101-1,1,Assumptions!$B$9,Assumptions!$B$11:$B$11)=A101,"بله","خیر")</x:f>
        <x:v>بله</x:v>
      </x:c>
      <x:c r="D101" s="24" t="str">
        <x:f>IF(COUNTIF(Assumptions!$B$11:$B$11,A101)&gt;0,"تعطیلی فرضی",IF(C101="خیر","تعطیلی هفتگی",""))</x:f>
      </x:c>
    </x:row>
    <x:row r="102" ht="34" customHeight="1">
      <x:c r="A102" s="48" t="n">
        <x:f>Assumptions!$B$7+94</x:f>
        <x:v>46392</x:v>
      </x:c>
      <x:c r="B102" s="24" t="n">
        <x:f>WEEKDAY(A102,2)</x:f>
        <x:v>2</x:v>
      </x:c>
      <x:c r="C102" s="46" t="str">
        <x:f>IF(WORKDAY.INTL(A102-1,1,Assumptions!$B$9,Assumptions!$B$11:$B$11)=A102,"بله","خیر")</x:f>
        <x:v>بله</x:v>
      </x:c>
      <x:c r="D102" s="24" t="str">
        <x:f>IF(COUNTIF(Assumptions!$B$11:$B$11,A102)&gt;0,"تعطیلی فرضی",IF(C102="خیر","تعطیلی هفتگی",""))</x:f>
      </x:c>
    </x:row>
    <x:row r="103" ht="34" customHeight="1">
      <x:c r="A103" s="48" t="n">
        <x:f>Assumptions!$B$7+95</x:f>
        <x:v>46393</x:v>
      </x:c>
      <x:c r="B103" s="24" t="n">
        <x:f>WEEKDAY(A103,2)</x:f>
        <x:v>3</x:v>
      </x:c>
      <x:c r="C103" s="46" t="str">
        <x:f>IF(WORKDAY.INTL(A103-1,1,Assumptions!$B$9,Assumptions!$B$11:$B$11)=A103,"بله","خیر")</x:f>
        <x:v>بله</x:v>
      </x:c>
      <x:c r="D103" s="24" t="str">
        <x:f>IF(COUNTIF(Assumptions!$B$11:$B$11,A103)&gt;0,"تعطیلی فرضی",IF(C103="خیر","تعطیلی هفتگی",""))</x:f>
      </x:c>
    </x:row>
    <x:row r="104" ht="34" customHeight="1">
      <x:c r="A104" s="48" t="n">
        <x:f>Assumptions!$B$7+96</x:f>
        <x:v>46394</x:v>
      </x:c>
      <x:c r="B104" s="24" t="n">
        <x:f>WEEKDAY(A104,2)</x:f>
        <x:v>4</x:v>
      </x:c>
      <x:c r="C104" s="46" t="str">
        <x:f>IF(WORKDAY.INTL(A104-1,1,Assumptions!$B$9,Assumptions!$B$11:$B$11)=A104,"بله","خیر")</x:f>
        <x:v>بله</x:v>
      </x:c>
      <x:c r="D104" s="24" t="str">
        <x:f>IF(COUNTIF(Assumptions!$B$11:$B$11,A104)&gt;0,"تعطیلی فرضی",IF(C104="خیر","تعطیلی هفتگی",""))</x:f>
      </x:c>
    </x:row>
    <x:row r="105" ht="34" customHeight="1">
      <x:c r="A105" s="48" t="n">
        <x:f>Assumptions!$B$7+97</x:f>
        <x:v>46395</x:v>
      </x:c>
      <x:c r="B105" s="24" t="n">
        <x:f>WEEKDAY(A105,2)</x:f>
        <x:v>5</x:v>
      </x:c>
      <x:c r="C105" s="46" t="str">
        <x:f>IF(WORKDAY.INTL(A105-1,1,Assumptions!$B$9,Assumptions!$B$11:$B$11)=A105,"بله","خیر")</x:f>
        <x:v>خیر</x:v>
      </x:c>
      <x:c r="D105" s="46" t="str">
        <x:f>IF(COUNTIF(Assumptions!$B$11:$B$11,A105)&gt;0,"تعطیلی فرضی",IF(C105="خیر","تعطیلی هفتگی",""))</x:f>
        <x:v>تعطیلی هفتگی</x:v>
      </x:c>
    </x:row>
    <x:row r="106" ht="34" customHeight="1">
      <x:c r="A106" s="48" t="n">
        <x:f>Assumptions!$B$7+98</x:f>
        <x:v>46396</x:v>
      </x:c>
      <x:c r="B106" s="24" t="n">
        <x:f>WEEKDAY(A106,2)</x:f>
        <x:v>6</x:v>
      </x:c>
      <x:c r="C106" s="46" t="str">
        <x:f>IF(WORKDAY.INTL(A106-1,1,Assumptions!$B$9,Assumptions!$B$11:$B$11)=A106,"بله","خیر")</x:f>
        <x:v>بله</x:v>
      </x:c>
      <x:c r="D106" s="24" t="str">
        <x:f>IF(COUNTIF(Assumptions!$B$11:$B$11,A106)&gt;0,"تعطیلی فرضی",IF(C106="خیر","تعطیلی هفتگی",""))</x:f>
      </x:c>
    </x:row>
    <x:row r="107" ht="34" customHeight="1">
      <x:c r="A107" s="48" t="n">
        <x:f>Assumptions!$B$7+99</x:f>
        <x:v>46397</x:v>
      </x:c>
      <x:c r="B107" s="24" t="n">
        <x:f>WEEKDAY(A107,2)</x:f>
        <x:v>7</x:v>
      </x:c>
      <x:c r="C107" s="46" t="str">
        <x:f>IF(WORKDAY.INTL(A107-1,1,Assumptions!$B$9,Assumptions!$B$11:$B$11)=A107,"بله","خیر")</x:f>
        <x:v>بله</x:v>
      </x:c>
      <x:c r="D107" s="24" t="str">
        <x:f>IF(COUNTIF(Assumptions!$B$11:$B$11,A107)&gt;0,"تعطیلی فرضی",IF(C107="خیر","تعطیلی هفتگی",""))</x:f>
      </x:c>
    </x:row>
    <x:row r="108" ht="34" customHeight="1">
      <x:c r="A108" s="48" t="n">
        <x:f>Assumptions!$B$7+100</x:f>
        <x:v>46398</x:v>
      </x:c>
      <x:c r="B108" s="24" t="n">
        <x:f>WEEKDAY(A108,2)</x:f>
        <x:v>1</x:v>
      </x:c>
      <x:c r="C108" s="46" t="str">
        <x:f>IF(WORKDAY.INTL(A108-1,1,Assumptions!$B$9,Assumptions!$B$11:$B$11)=A108,"بله","خیر")</x:f>
        <x:v>بله</x:v>
      </x:c>
      <x:c r="D108" s="24" t="str">
        <x:f>IF(COUNTIF(Assumptions!$B$11:$B$11,A108)&gt;0,"تعطیلی فرضی",IF(C108="خیر","تعطیلی هفتگی",""))</x:f>
      </x:c>
    </x:row>
    <x:row r="109" ht="34" customHeight="1">
      <x:c r="A109" s="48" t="n">
        <x:f>Assumptions!$B$7+101</x:f>
        <x:v>46399</x:v>
      </x:c>
      <x:c r="B109" s="24" t="n">
        <x:f>WEEKDAY(A109,2)</x:f>
        <x:v>2</x:v>
      </x:c>
      <x:c r="C109" s="46" t="str">
        <x:f>IF(WORKDAY.INTL(A109-1,1,Assumptions!$B$9,Assumptions!$B$11:$B$11)=A109,"بله","خیر")</x:f>
        <x:v>بله</x:v>
      </x:c>
      <x:c r="D109" s="24" t="str">
        <x:f>IF(COUNTIF(Assumptions!$B$11:$B$11,A109)&gt;0,"تعطیلی فرضی",IF(C109="خیر","تعطیلی هفتگی",""))</x:f>
      </x:c>
    </x:row>
    <x:row r="110" ht="34" customHeight="1">
      <x:c r="A110" s="48" t="n">
        <x:f>Assumptions!$B$7+102</x:f>
        <x:v>46400</x:v>
      </x:c>
      <x:c r="B110" s="24" t="n">
        <x:f>WEEKDAY(A110,2)</x:f>
        <x:v>3</x:v>
      </x:c>
      <x:c r="C110" s="46" t="str">
        <x:f>IF(WORKDAY.INTL(A110-1,1,Assumptions!$B$9,Assumptions!$B$11:$B$11)=A110,"بله","خیر")</x:f>
        <x:v>بله</x:v>
      </x:c>
      <x:c r="D110" s="24" t="str">
        <x:f>IF(COUNTIF(Assumptions!$B$11:$B$11,A110)&gt;0,"تعطیلی فرضی",IF(C110="خیر","تعطیلی هفتگی",""))</x:f>
      </x:c>
    </x:row>
    <x:row r="111" ht="34" customHeight="1">
      <x:c r="A111" s="48" t="n">
        <x:f>Assumptions!$B$7+103</x:f>
        <x:v>46401</x:v>
      </x:c>
      <x:c r="B111" s="24" t="n">
        <x:f>WEEKDAY(A111,2)</x:f>
        <x:v>4</x:v>
      </x:c>
      <x:c r="C111" s="46" t="str">
        <x:f>IF(WORKDAY.INTL(A111-1,1,Assumptions!$B$9,Assumptions!$B$11:$B$11)=A111,"بله","خیر")</x:f>
        <x:v>بله</x:v>
      </x:c>
      <x:c r="D111" s="24" t="str">
        <x:f>IF(COUNTIF(Assumptions!$B$11:$B$11,A111)&gt;0,"تعطیلی فرضی",IF(C111="خیر","تعطیلی هفتگی",""))</x:f>
      </x:c>
    </x:row>
    <x:row r="112" ht="34" customHeight="1">
      <x:c r="A112" s="48" t="n">
        <x:f>Assumptions!$B$7+104</x:f>
        <x:v>46402</x:v>
      </x:c>
      <x:c r="B112" s="24" t="n">
        <x:f>WEEKDAY(A112,2)</x:f>
        <x:v>5</x:v>
      </x:c>
      <x:c r="C112" s="46" t="str">
        <x:f>IF(WORKDAY.INTL(A112-1,1,Assumptions!$B$9,Assumptions!$B$11:$B$11)=A112,"بله","خیر")</x:f>
        <x:v>خیر</x:v>
      </x:c>
      <x:c r="D112" s="46" t="str">
        <x:f>IF(COUNTIF(Assumptions!$B$11:$B$11,A112)&gt;0,"تعطیلی فرضی",IF(C112="خیر","تعطیلی هفتگی",""))</x:f>
        <x:v>تعطیلی هفتگی</x:v>
      </x:c>
    </x:row>
    <x:row r="113" ht="34" customHeight="1">
      <x:c r="A113" s="48" t="n">
        <x:f>Assumptions!$B$7+105</x:f>
        <x:v>46403</x:v>
      </x:c>
      <x:c r="B113" s="24" t="n">
        <x:f>WEEKDAY(A113,2)</x:f>
        <x:v>6</x:v>
      </x:c>
      <x:c r="C113" s="46" t="str">
        <x:f>IF(WORKDAY.INTL(A113-1,1,Assumptions!$B$9,Assumptions!$B$11:$B$11)=A113,"بله","خیر")</x:f>
        <x:v>بله</x:v>
      </x:c>
      <x:c r="D113" s="24" t="str">
        <x:f>IF(COUNTIF(Assumptions!$B$11:$B$11,A113)&gt;0,"تعطیلی فرضی",IF(C113="خیر","تعطیلی هفتگی",""))</x:f>
      </x:c>
    </x:row>
    <x:row r="114" ht="34" customHeight="1">
      <x:c r="A114" s="48" t="n">
        <x:f>Assumptions!$B$7+106</x:f>
        <x:v>46404</x:v>
      </x:c>
      <x:c r="B114" s="24" t="n">
        <x:f>WEEKDAY(A114,2)</x:f>
        <x:v>7</x:v>
      </x:c>
      <x:c r="C114" s="46" t="str">
        <x:f>IF(WORKDAY.INTL(A114-1,1,Assumptions!$B$9,Assumptions!$B$11:$B$11)=A114,"بله","خیر")</x:f>
        <x:v>بله</x:v>
      </x:c>
      <x:c r="D114" s="24" t="str">
        <x:f>IF(COUNTIF(Assumptions!$B$11:$B$11,A114)&gt;0,"تعطیلی فرضی",IF(C114="خیر","تعطیلی هفتگی",""))</x:f>
      </x:c>
    </x:row>
    <x:row r="115" ht="34" customHeight="1">
      <x:c r="A115" s="48" t="n">
        <x:f>Assumptions!$B$7+107</x:f>
        <x:v>46405</x:v>
      </x:c>
      <x:c r="B115" s="24" t="n">
        <x:f>WEEKDAY(A115,2)</x:f>
        <x:v>1</x:v>
      </x:c>
      <x:c r="C115" s="46" t="str">
        <x:f>IF(WORKDAY.INTL(A115-1,1,Assumptions!$B$9,Assumptions!$B$11:$B$11)=A115,"بله","خیر")</x:f>
        <x:v>بله</x:v>
      </x:c>
      <x:c r="D115" s="24" t="str">
        <x:f>IF(COUNTIF(Assumptions!$B$11:$B$11,A115)&gt;0,"تعطیلی فرضی",IF(C115="خیر","تعطیلی هفتگی",""))</x:f>
      </x:c>
    </x:row>
    <x:row r="116" ht="34" customHeight="1">
      <x:c r="A116" s="48" t="n">
        <x:f>Assumptions!$B$7+108</x:f>
        <x:v>46406</x:v>
      </x:c>
      <x:c r="B116" s="24" t="n">
        <x:f>WEEKDAY(A116,2)</x:f>
        <x:v>2</x:v>
      </x:c>
      <x:c r="C116" s="46" t="str">
        <x:f>IF(WORKDAY.INTL(A116-1,1,Assumptions!$B$9,Assumptions!$B$11:$B$11)=A116,"بله","خیر")</x:f>
        <x:v>بله</x:v>
      </x:c>
      <x:c r="D116" s="24" t="str">
        <x:f>IF(COUNTIF(Assumptions!$B$11:$B$11,A116)&gt;0,"تعطیلی فرضی",IF(C116="خیر","تعطیلی هفتگی",""))</x:f>
      </x:c>
    </x:row>
    <x:row r="117" ht="34" customHeight="1">
      <x:c r="A117" s="48" t="n">
        <x:f>Assumptions!$B$7+109</x:f>
        <x:v>46407</x:v>
      </x:c>
      <x:c r="B117" s="24" t="n">
        <x:f>WEEKDAY(A117,2)</x:f>
        <x:v>3</x:v>
      </x:c>
      <x:c r="C117" s="46" t="str">
        <x:f>IF(WORKDAY.INTL(A117-1,1,Assumptions!$B$9,Assumptions!$B$11:$B$11)=A117,"بله","خیر")</x:f>
        <x:v>بله</x:v>
      </x:c>
      <x:c r="D117" s="24" t="str">
        <x:f>IF(COUNTIF(Assumptions!$B$11:$B$11,A117)&gt;0,"تعطیلی فرضی",IF(C117="خیر","تعطیلی هفتگی",""))</x:f>
      </x:c>
    </x:row>
    <x:row r="118" ht="34" customHeight="1">
      <x:c r="A118" s="48" t="n">
        <x:f>Assumptions!$B$7+110</x:f>
        <x:v>46408</x:v>
      </x:c>
      <x:c r="B118" s="24" t="n">
        <x:f>WEEKDAY(A118,2)</x:f>
        <x:v>4</x:v>
      </x:c>
      <x:c r="C118" s="46" t="str">
        <x:f>IF(WORKDAY.INTL(A118-1,1,Assumptions!$B$9,Assumptions!$B$11:$B$11)=A118,"بله","خیر")</x:f>
        <x:v>بله</x:v>
      </x:c>
      <x:c r="D118" s="24" t="str">
        <x:f>IF(COUNTIF(Assumptions!$B$11:$B$11,A118)&gt;0,"تعطیلی فرضی",IF(C118="خیر","تعطیلی هفتگی",""))</x:f>
      </x:c>
    </x:row>
    <x:row r="119" ht="34" customHeight="1">
      <x:c r="A119" s="48" t="n">
        <x:f>Assumptions!$B$7+111</x:f>
        <x:v>46409</x:v>
      </x:c>
      <x:c r="B119" s="24" t="n">
        <x:f>WEEKDAY(A119,2)</x:f>
        <x:v>5</x:v>
      </x:c>
      <x:c r="C119" s="46" t="str">
        <x:f>IF(WORKDAY.INTL(A119-1,1,Assumptions!$B$9,Assumptions!$B$11:$B$11)=A119,"بله","خیر")</x:f>
        <x:v>خیر</x:v>
      </x:c>
      <x:c r="D119" s="46" t="str">
        <x:f>IF(COUNTIF(Assumptions!$B$11:$B$11,A119)&gt;0,"تعطیلی فرضی",IF(C119="خیر","تعطیلی هفتگی",""))</x:f>
        <x:v>تعطیلی هفتگی</x:v>
      </x:c>
    </x:row>
    <x:row r="120" ht="34" customHeight="1">
      <x:c r="A120" s="48" t="n">
        <x:f>Assumptions!$B$7+112</x:f>
        <x:v>46410</x:v>
      </x:c>
      <x:c r="B120" s="24" t="n">
        <x:f>WEEKDAY(A120,2)</x:f>
        <x:v>6</x:v>
      </x:c>
      <x:c r="C120" s="46" t="str">
        <x:f>IF(WORKDAY.INTL(A120-1,1,Assumptions!$B$9,Assumptions!$B$11:$B$11)=A120,"بله","خیر")</x:f>
        <x:v>بله</x:v>
      </x:c>
      <x:c r="D120" s="24" t="str">
        <x:f>IF(COUNTIF(Assumptions!$B$11:$B$11,A120)&gt;0,"تعطیلی فرضی",IF(C120="خیر","تعطیلی هفتگی",""))</x:f>
      </x:c>
    </x:row>
    <x:row r="121" ht="34" customHeight="1">
      <x:c r="A121" s="48" t="n">
        <x:f>Assumptions!$B$7+113</x:f>
        <x:v>46411</x:v>
      </x:c>
      <x:c r="B121" s="24" t="n">
        <x:f>WEEKDAY(A121,2)</x:f>
        <x:v>7</x:v>
      </x:c>
      <x:c r="C121" s="46" t="str">
        <x:f>IF(WORKDAY.INTL(A121-1,1,Assumptions!$B$9,Assumptions!$B$11:$B$11)=A121,"بله","خیر")</x:f>
        <x:v>بله</x:v>
      </x:c>
      <x:c r="D121" s="24" t="str">
        <x:f>IF(COUNTIF(Assumptions!$B$11:$B$11,A121)&gt;0,"تعطیلی فرضی",IF(C121="خیر","تعطیلی هفتگی",""))</x:f>
      </x:c>
    </x:row>
    <x:row r="122" ht="34" customHeight="1">
      <x:c r="A122" s="48" t="n">
        <x:f>Assumptions!$B$7+114</x:f>
        <x:v>46412</x:v>
      </x:c>
      <x:c r="B122" s="24" t="n">
        <x:f>WEEKDAY(A122,2)</x:f>
        <x:v>1</x:v>
      </x:c>
      <x:c r="C122" s="46" t="str">
        <x:f>IF(WORKDAY.INTL(A122-1,1,Assumptions!$B$9,Assumptions!$B$11:$B$11)=A122,"بله","خیر")</x:f>
        <x:v>بله</x:v>
      </x:c>
      <x:c r="D122" s="24" t="str">
        <x:f>IF(COUNTIF(Assumptions!$B$11:$B$11,A122)&gt;0,"تعطیلی فرضی",IF(C122="خیر","تعطیلی هفتگی",""))</x:f>
      </x:c>
    </x:row>
    <x:row r="123" ht="34" customHeight="1">
      <x:c r="A123" s="48" t="n">
        <x:f>Assumptions!$B$7+115</x:f>
        <x:v>46413</x:v>
      </x:c>
      <x:c r="B123" s="24" t="n">
        <x:f>WEEKDAY(A123,2)</x:f>
        <x:v>2</x:v>
      </x:c>
      <x:c r="C123" s="46" t="str">
        <x:f>IF(WORKDAY.INTL(A123-1,1,Assumptions!$B$9,Assumptions!$B$11:$B$11)=A123,"بله","خیر")</x:f>
        <x:v>بله</x:v>
      </x:c>
      <x:c r="D123" s="24" t="str">
        <x:f>IF(COUNTIF(Assumptions!$B$11:$B$11,A123)&gt;0,"تعطیلی فرضی",IF(C123="خیر","تعطیلی هفتگی",""))</x:f>
      </x:c>
    </x:row>
    <x:row r="124" ht="34" customHeight="1">
      <x:c r="A124" s="48" t="n">
        <x:f>Assumptions!$B$7+116</x:f>
        <x:v>46414</x:v>
      </x:c>
      <x:c r="B124" s="24" t="n">
        <x:f>WEEKDAY(A124,2)</x:f>
        <x:v>3</x:v>
      </x:c>
      <x:c r="C124" s="46" t="str">
        <x:f>IF(WORKDAY.INTL(A124-1,1,Assumptions!$B$9,Assumptions!$B$11:$B$11)=A124,"بله","خیر")</x:f>
        <x:v>بله</x:v>
      </x:c>
      <x:c r="D124" s="24" t="str">
        <x:f>IF(COUNTIF(Assumptions!$B$11:$B$11,A124)&gt;0,"تعطیلی فرضی",IF(C124="خیر","تعطیلی هفتگی",""))</x:f>
      </x:c>
    </x:row>
    <x:row r="125" ht="34" customHeight="1">
      <x:c r="A125" s="48" t="n">
        <x:f>Assumptions!$B$7+117</x:f>
        <x:v>46415</x:v>
      </x:c>
      <x:c r="B125" s="24" t="n">
        <x:f>WEEKDAY(A125,2)</x:f>
        <x:v>4</x:v>
      </x:c>
      <x:c r="C125" s="46" t="str">
        <x:f>IF(WORKDAY.INTL(A125-1,1,Assumptions!$B$9,Assumptions!$B$11:$B$11)=A125,"بله","خیر")</x:f>
        <x:v>بله</x:v>
      </x:c>
      <x:c r="D125" s="24" t="str">
        <x:f>IF(COUNTIF(Assumptions!$B$11:$B$11,A125)&gt;0,"تعطیلی فرضی",IF(C125="خیر","تعطیلی هفتگی",""))</x:f>
      </x:c>
    </x:row>
    <x:row r="126" ht="34" customHeight="1">
      <x:c r="A126" s="48" t="n">
        <x:f>Assumptions!$B$7+118</x:f>
        <x:v>46416</x:v>
      </x:c>
      <x:c r="B126" s="24" t="n">
        <x:f>WEEKDAY(A126,2)</x:f>
        <x:v>5</x:v>
      </x:c>
      <x:c r="C126" s="46" t="str">
        <x:f>IF(WORKDAY.INTL(A126-1,1,Assumptions!$B$9,Assumptions!$B$11:$B$11)=A126,"بله","خیر")</x:f>
        <x:v>خیر</x:v>
      </x:c>
      <x:c r="D126" s="46" t="str">
        <x:f>IF(COUNTIF(Assumptions!$B$11:$B$11,A126)&gt;0,"تعطیلی فرضی",IF(C126="خیر","تعطیلی هفتگی",""))</x:f>
        <x:v>تعطیلی هفتگی</x:v>
      </x:c>
    </x:row>
    <x:row r="127" ht="34" customHeight="1">
      <x:c r="A127" s="48" t="n">
        <x:f>Assumptions!$B$7+119</x:f>
        <x:v>46417</x:v>
      </x:c>
      <x:c r="B127" s="24" t="n">
        <x:f>WEEKDAY(A127,2)</x:f>
        <x:v>6</x:v>
      </x:c>
      <x:c r="C127" s="46" t="str">
        <x:f>IF(WORKDAY.INTL(A127-1,1,Assumptions!$B$9,Assumptions!$B$11:$B$11)=A127,"بله","خیر")</x:f>
        <x:v>بله</x:v>
      </x:c>
      <x:c r="D127" s="24" t="str">
        <x:f>IF(COUNTIF(Assumptions!$B$11:$B$11,A127)&gt;0,"تعطیلی فرضی",IF(C127="خیر","تعطیلی هفتگی",""))</x:f>
      </x:c>
    </x:row>
    <x:row r="128" ht="34" customHeight="1">
      <x:c r="A128" s="48" t="n">
        <x:f>Assumptions!$B$7+120</x:f>
        <x:v>46418</x:v>
      </x:c>
      <x:c r="B128" s="24" t="n">
        <x:f>WEEKDAY(A128,2)</x:f>
        <x:v>7</x:v>
      </x:c>
      <x:c r="C128" s="46" t="str">
        <x:f>IF(WORKDAY.INTL(A128-1,1,Assumptions!$B$9,Assumptions!$B$11:$B$11)=A128,"بله","خیر")</x:f>
        <x:v>بله</x:v>
      </x:c>
      <x:c r="D128" s="24" t="str">
        <x:f>IF(COUNTIF(Assumptions!$B$11:$B$11,A128)&gt;0,"تعطیلی فرضی",IF(C128="خیر","تعطیلی هفتگی",""))</x:f>
      </x:c>
    </x:row>
    <x:row r="129" ht="34" customHeight="1">
      <x:c r="A129" s="48" t="n">
        <x:f>Assumptions!$B$7+121</x:f>
        <x:v>46419</x:v>
      </x:c>
      <x:c r="B129" s="24" t="n">
        <x:f>WEEKDAY(A129,2)</x:f>
        <x:v>1</x:v>
      </x:c>
      <x:c r="C129" s="46" t="str">
        <x:f>IF(WORKDAY.INTL(A129-1,1,Assumptions!$B$9,Assumptions!$B$11:$B$11)=A129,"بله","خیر")</x:f>
        <x:v>بله</x:v>
      </x:c>
      <x:c r="D129" s="24" t="str">
        <x:f>IF(COUNTIF(Assumptions!$B$11:$B$11,A129)&gt;0,"تعطیلی فرضی",IF(C129="خیر","تعطیلی هفتگی",""))</x:f>
      </x:c>
    </x:row>
    <x:row r="130" ht="34" customHeight="1">
      <x:c r="A130" s="48" t="n">
        <x:f>Assumptions!$B$7+122</x:f>
        <x:v>46420</x:v>
      </x:c>
      <x:c r="B130" s="24" t="n">
        <x:f>WEEKDAY(A130,2)</x:f>
        <x:v>2</x:v>
      </x:c>
      <x:c r="C130" s="46" t="str">
        <x:f>IF(WORKDAY.INTL(A130-1,1,Assumptions!$B$9,Assumptions!$B$11:$B$11)=A130,"بله","خیر")</x:f>
        <x:v>بله</x:v>
      </x:c>
      <x:c r="D130" s="24" t="str">
        <x:f>IF(COUNTIF(Assumptions!$B$11:$B$11,A130)&gt;0,"تعطیلی فرضی",IF(C130="خیر","تعطیلی هفتگی",""))</x:f>
      </x:c>
    </x:row>
    <x:row r="131" ht="34" customHeight="1">
      <x:c r="A131" s="48" t="n">
        <x:f>Assumptions!$B$7+123</x:f>
        <x:v>46421</x:v>
      </x:c>
      <x:c r="B131" s="24" t="n">
        <x:f>WEEKDAY(A131,2)</x:f>
        <x:v>3</x:v>
      </x:c>
      <x:c r="C131" s="46" t="str">
        <x:f>IF(WORKDAY.INTL(A131-1,1,Assumptions!$B$9,Assumptions!$B$11:$B$11)=A131,"بله","خیر")</x:f>
        <x:v>بله</x:v>
      </x:c>
      <x:c r="D131" s="24" t="str">
        <x:f>IF(COUNTIF(Assumptions!$B$11:$B$11,A131)&gt;0,"تعطیلی فرضی",IF(C131="خیر","تعطیلی هفتگی",""))</x:f>
      </x:c>
    </x:row>
    <x:row r="132" ht="34" customHeight="1">
      <x:c r="A132" s="48" t="n">
        <x:f>Assumptions!$B$7+124</x:f>
        <x:v>46422</x:v>
      </x:c>
      <x:c r="B132" s="24" t="n">
        <x:f>WEEKDAY(A132,2)</x:f>
        <x:v>4</x:v>
      </x:c>
      <x:c r="C132" s="46" t="str">
        <x:f>IF(WORKDAY.INTL(A132-1,1,Assumptions!$B$9,Assumptions!$B$11:$B$11)=A132,"بله","خیر")</x:f>
        <x:v>بله</x:v>
      </x:c>
      <x:c r="D132" s="24" t="str">
        <x:f>IF(COUNTIF(Assumptions!$B$11:$B$11,A132)&gt;0,"تعطیلی فرضی",IF(C132="خیر","تعطیلی هفتگی",""))</x:f>
      </x:c>
    </x:row>
    <x:row r="133" ht="34" customHeight="1">
      <x:c r="A133" s="48" t="n">
        <x:f>Assumptions!$B$7+125</x:f>
        <x:v>46423</x:v>
      </x:c>
      <x:c r="B133" s="24" t="n">
        <x:f>WEEKDAY(A133,2)</x:f>
        <x:v>5</x:v>
      </x:c>
      <x:c r="C133" s="46" t="str">
        <x:f>IF(WORKDAY.INTL(A133-1,1,Assumptions!$B$9,Assumptions!$B$11:$B$11)=A133,"بله","خیر")</x:f>
        <x:v>خیر</x:v>
      </x:c>
      <x:c r="D133" s="46" t="str">
        <x:f>IF(COUNTIF(Assumptions!$B$11:$B$11,A133)&gt;0,"تعطیلی فرضی",IF(C133="خیر","تعطیلی هفتگی",""))</x:f>
        <x:v>تعطیلی هفتگی</x:v>
      </x:c>
    </x:row>
    <x:row r="134" ht="34" customHeight="1">
      <x:c r="A134" s="48" t="n">
        <x:f>Assumptions!$B$7+126</x:f>
        <x:v>46424</x:v>
      </x:c>
      <x:c r="B134" s="24" t="n">
        <x:f>WEEKDAY(A134,2)</x:f>
        <x:v>6</x:v>
      </x:c>
      <x:c r="C134" s="46" t="str">
        <x:f>IF(WORKDAY.INTL(A134-1,1,Assumptions!$B$9,Assumptions!$B$11:$B$11)=A134,"بله","خیر")</x:f>
        <x:v>بله</x:v>
      </x:c>
      <x:c r="D134" s="24" t="str">
        <x:f>IF(COUNTIF(Assumptions!$B$11:$B$11,A134)&gt;0,"تعطیلی فرضی",IF(C134="خیر","تعطیلی هفتگی",""))</x:f>
      </x:c>
    </x:row>
    <x:row r="135" ht="34" customHeight="1">
      <x:c r="A135" s="48" t="n">
        <x:f>Assumptions!$B$7+127</x:f>
        <x:v>46425</x:v>
      </x:c>
      <x:c r="B135" s="24" t="n">
        <x:f>WEEKDAY(A135,2)</x:f>
        <x:v>7</x:v>
      </x:c>
      <x:c r="C135" s="46" t="str">
        <x:f>IF(WORKDAY.INTL(A135-1,1,Assumptions!$B$9,Assumptions!$B$11:$B$11)=A135,"بله","خیر")</x:f>
        <x:v>بله</x:v>
      </x:c>
      <x:c r="D135" s="24" t="str">
        <x:f>IF(COUNTIF(Assumptions!$B$11:$B$11,A135)&gt;0,"تعطیلی فرضی",IF(C135="خیر","تعطیلی هفتگی",""))</x:f>
      </x:c>
    </x:row>
    <x:row r="136" ht="34" customHeight="1">
      <x:c r="A136" s="48" t="n">
        <x:f>Assumptions!$B$7+128</x:f>
        <x:v>46426</x:v>
      </x:c>
      <x:c r="B136" s="24" t="n">
        <x:f>WEEKDAY(A136,2)</x:f>
        <x:v>1</x:v>
      </x:c>
      <x:c r="C136" s="46" t="str">
        <x:f>IF(WORKDAY.INTL(A136-1,1,Assumptions!$B$9,Assumptions!$B$11:$B$11)=A136,"بله","خیر")</x:f>
        <x:v>بله</x:v>
      </x:c>
      <x:c r="D136" s="24" t="str">
        <x:f>IF(COUNTIF(Assumptions!$B$11:$B$11,A136)&gt;0,"تعطیلی فرضی",IF(C136="خیر","تعطیلی هفتگی",""))</x:f>
      </x:c>
    </x:row>
    <x:row r="137" ht="34" customHeight="1">
      <x:c r="A137" s="48" t="n">
        <x:f>Assumptions!$B$7+129</x:f>
        <x:v>46427</x:v>
      </x:c>
      <x:c r="B137" s="24" t="n">
        <x:f>WEEKDAY(A137,2)</x:f>
        <x:v>2</x:v>
      </x:c>
      <x:c r="C137" s="46" t="str">
        <x:f>IF(WORKDAY.INTL(A137-1,1,Assumptions!$B$9,Assumptions!$B$11:$B$11)=A137,"بله","خیر")</x:f>
        <x:v>بله</x:v>
      </x:c>
      <x:c r="D137" s="24" t="str">
        <x:f>IF(COUNTIF(Assumptions!$B$11:$B$11,A137)&gt;0,"تعطیلی فرضی",IF(C137="خیر","تعطیلی هفتگی",""))</x:f>
      </x:c>
    </x:row>
    <x:row r="138" ht="34" customHeight="1">
      <x:c r="A138" s="48" t="n">
        <x:f>Assumptions!$B$7+130</x:f>
        <x:v>46428</x:v>
      </x:c>
      <x:c r="B138" s="24" t="n">
        <x:f>WEEKDAY(A138,2)</x:f>
        <x:v>3</x:v>
      </x:c>
      <x:c r="C138" s="46" t="str">
        <x:f>IF(WORKDAY.INTL(A138-1,1,Assumptions!$B$9,Assumptions!$B$11:$B$11)=A138,"بله","خیر")</x:f>
        <x:v>بله</x:v>
      </x:c>
      <x:c r="D138" s="24" t="str">
        <x:f>IF(COUNTIF(Assumptions!$B$11:$B$11,A138)&gt;0,"تعطیلی فرضی",IF(C138="خیر","تعطیلی هفتگی",""))</x:f>
      </x:c>
    </x:row>
    <x:row r="139" ht="34" customHeight="1">
      <x:c r="A139" s="48" t="n">
        <x:f>Assumptions!$B$7+131</x:f>
        <x:v>46429</x:v>
      </x:c>
      <x:c r="B139" s="24" t="n">
        <x:f>WEEKDAY(A139,2)</x:f>
        <x:v>4</x:v>
      </x:c>
      <x:c r="C139" s="46" t="str">
        <x:f>IF(WORKDAY.INTL(A139-1,1,Assumptions!$B$9,Assumptions!$B$11:$B$11)=A139,"بله","خیر")</x:f>
        <x:v>بله</x:v>
      </x:c>
      <x:c r="D139" s="24" t="str">
        <x:f>IF(COUNTIF(Assumptions!$B$11:$B$11,A139)&gt;0,"تعطیلی فرضی",IF(C139="خیر","تعطیلی هفتگی",""))</x:f>
      </x:c>
    </x:row>
    <x:row r="140" ht="34" customHeight="1">
      <x:c r="A140" s="48" t="n">
        <x:f>Assumptions!$B$7+132</x:f>
        <x:v>46430</x:v>
      </x:c>
      <x:c r="B140" s="24" t="n">
        <x:f>WEEKDAY(A140,2)</x:f>
        <x:v>5</x:v>
      </x:c>
      <x:c r="C140" s="46" t="str">
        <x:f>IF(WORKDAY.INTL(A140-1,1,Assumptions!$B$9,Assumptions!$B$11:$B$11)=A140,"بله","خیر")</x:f>
        <x:v>خیر</x:v>
      </x:c>
      <x:c r="D140" s="46" t="str">
        <x:f>IF(COUNTIF(Assumptions!$B$11:$B$11,A140)&gt;0,"تعطیلی فرضی",IF(C140="خیر","تعطیلی هفتگی",""))</x:f>
        <x:v>تعطیلی هفتگی</x:v>
      </x:c>
    </x:row>
    <x:row r="141" ht="34" customHeight="1">
      <x:c r="A141" s="48" t="n">
        <x:f>Assumptions!$B$7+133</x:f>
        <x:v>46431</x:v>
      </x:c>
      <x:c r="B141" s="24" t="n">
        <x:f>WEEKDAY(A141,2)</x:f>
        <x:v>6</x:v>
      </x:c>
      <x:c r="C141" s="46" t="str">
        <x:f>IF(WORKDAY.INTL(A141-1,1,Assumptions!$B$9,Assumptions!$B$11:$B$11)=A141,"بله","خیر")</x:f>
        <x:v>بله</x:v>
      </x:c>
      <x:c r="D141" s="24" t="str">
        <x:f>IF(COUNTIF(Assumptions!$B$11:$B$11,A141)&gt;0,"تعطیلی فرضی",IF(C141="خیر","تعطیلی هفتگی",""))</x:f>
      </x:c>
    </x:row>
    <x:row r="142" ht="34" customHeight="1">
      <x:c r="A142" s="48" t="n">
        <x:f>Assumptions!$B$7+134</x:f>
        <x:v>46432</x:v>
      </x:c>
      <x:c r="B142" s="24" t="n">
        <x:f>WEEKDAY(A142,2)</x:f>
        <x:v>7</x:v>
      </x:c>
      <x:c r="C142" s="46" t="str">
        <x:f>IF(WORKDAY.INTL(A142-1,1,Assumptions!$B$9,Assumptions!$B$11:$B$11)=A142,"بله","خیر")</x:f>
        <x:v>بله</x:v>
      </x:c>
      <x:c r="D142" s="24" t="str">
        <x:f>IF(COUNTIF(Assumptions!$B$11:$B$11,A142)&gt;0,"تعطیلی فرضی",IF(C142="خیر","تعطیلی هفتگی",""))</x:f>
      </x:c>
    </x:row>
    <x:row r="143" ht="34" customHeight="1">
      <x:c r="A143" s="48" t="n">
        <x:f>Assumptions!$B$7+135</x:f>
        <x:v>46433</x:v>
      </x:c>
      <x:c r="B143" s="24" t="n">
        <x:f>WEEKDAY(A143,2)</x:f>
        <x:v>1</x:v>
      </x:c>
      <x:c r="C143" s="46" t="str">
        <x:f>IF(WORKDAY.INTL(A143-1,1,Assumptions!$B$9,Assumptions!$B$11:$B$11)=A143,"بله","خیر")</x:f>
        <x:v>بله</x:v>
      </x:c>
      <x:c r="D143" s="24" t="str">
        <x:f>IF(COUNTIF(Assumptions!$B$11:$B$11,A143)&gt;0,"تعطیلی فرضی",IF(C143="خیر","تعطیلی هفتگی",""))</x:f>
      </x:c>
    </x:row>
    <x:row r="144" ht="34" customHeight="1">
      <x:c r="A144" s="48" t="n">
        <x:f>Assumptions!$B$7+136</x:f>
        <x:v>46434</x:v>
      </x:c>
      <x:c r="B144" s="24" t="n">
        <x:f>WEEKDAY(A144,2)</x:f>
        <x:v>2</x:v>
      </x:c>
      <x:c r="C144" s="46" t="str">
        <x:f>IF(WORKDAY.INTL(A144-1,1,Assumptions!$B$9,Assumptions!$B$11:$B$11)=A144,"بله","خیر")</x:f>
        <x:v>بله</x:v>
      </x:c>
      <x:c r="D144" s="24" t="str">
        <x:f>IF(COUNTIF(Assumptions!$B$11:$B$11,A144)&gt;0,"تعطیلی فرضی",IF(C144="خیر","تعطیلی هفتگی",""))</x:f>
      </x:c>
    </x:row>
    <x:row r="145" ht="34" customHeight="1">
      <x:c r="A145" s="48" t="n">
        <x:f>Assumptions!$B$7+137</x:f>
        <x:v>46435</x:v>
      </x:c>
      <x:c r="B145" s="24" t="n">
        <x:f>WEEKDAY(A145,2)</x:f>
        <x:v>3</x:v>
      </x:c>
      <x:c r="C145" s="46" t="str">
        <x:f>IF(WORKDAY.INTL(A145-1,1,Assumptions!$B$9,Assumptions!$B$11:$B$11)=A145,"بله","خیر")</x:f>
        <x:v>بله</x:v>
      </x:c>
      <x:c r="D145" s="24" t="str">
        <x:f>IF(COUNTIF(Assumptions!$B$11:$B$11,A145)&gt;0,"تعطیلی فرضی",IF(C145="خیر","تعطیلی هفتگی",""))</x:f>
      </x:c>
    </x:row>
    <x:row r="146" ht="34" customHeight="1">
      <x:c r="A146" s="48" t="n">
        <x:f>Assumptions!$B$7+138</x:f>
        <x:v>46436</x:v>
      </x:c>
      <x:c r="B146" s="24" t="n">
        <x:f>WEEKDAY(A146,2)</x:f>
        <x:v>4</x:v>
      </x:c>
      <x:c r="C146" s="46" t="str">
        <x:f>IF(WORKDAY.INTL(A146-1,1,Assumptions!$B$9,Assumptions!$B$11:$B$11)=A146,"بله","خیر")</x:f>
        <x:v>بله</x:v>
      </x:c>
      <x:c r="D146" s="24" t="str">
        <x:f>IF(COUNTIF(Assumptions!$B$11:$B$11,A146)&gt;0,"تعطیلی فرضی",IF(C146="خیر","تعطیلی هفتگی",""))</x:f>
      </x:c>
    </x:row>
    <x:row r="147" ht="34" customHeight="1">
      <x:c r="A147" s="48" t="n">
        <x:f>Assumptions!$B$7+139</x:f>
        <x:v>46437</x:v>
      </x:c>
      <x:c r="B147" s="24" t="n">
        <x:f>WEEKDAY(A147,2)</x:f>
        <x:v>5</x:v>
      </x:c>
      <x:c r="C147" s="46" t="str">
        <x:f>IF(WORKDAY.INTL(A147-1,1,Assumptions!$B$9,Assumptions!$B$11:$B$11)=A147,"بله","خیر")</x:f>
        <x:v>خیر</x:v>
      </x:c>
      <x:c r="D147" s="46" t="str">
        <x:f>IF(COUNTIF(Assumptions!$B$11:$B$11,A147)&gt;0,"تعطیلی فرضی",IF(C147="خیر","تعطیلی هفتگی",""))</x:f>
        <x:v>تعطیلی هفتگی</x:v>
      </x:c>
    </x:row>
    <x:row r="148" ht="34" customHeight="1">
      <x:c r="A148" s="48" t="n">
        <x:f>Assumptions!$B$7+140</x:f>
        <x:v>46438</x:v>
      </x:c>
      <x:c r="B148" s="24" t="n">
        <x:f>WEEKDAY(A148,2)</x:f>
        <x:v>6</x:v>
      </x:c>
      <x:c r="C148" s="46" t="str">
        <x:f>IF(WORKDAY.INTL(A148-1,1,Assumptions!$B$9,Assumptions!$B$11:$B$11)=A148,"بله","خیر")</x:f>
        <x:v>بله</x:v>
      </x:c>
      <x:c r="D148" s="24" t="str">
        <x:f>IF(COUNTIF(Assumptions!$B$11:$B$11,A148)&gt;0,"تعطیلی فرضی",IF(C148="خیر","تعطیلی هفتگی",""))</x:f>
      </x:c>
    </x:row>
    <x:row r="149" ht="34" customHeight="1">
      <x:c r="A149" s="48" t="n">
        <x:f>Assumptions!$B$7+141</x:f>
        <x:v>46439</x:v>
      </x:c>
      <x:c r="B149" s="24" t="n">
        <x:f>WEEKDAY(A149,2)</x:f>
        <x:v>7</x:v>
      </x:c>
      <x:c r="C149" s="46" t="str">
        <x:f>IF(WORKDAY.INTL(A149-1,1,Assumptions!$B$9,Assumptions!$B$11:$B$11)=A149,"بله","خیر")</x:f>
        <x:v>بله</x:v>
      </x:c>
      <x:c r="D149" s="24" t="str">
        <x:f>IF(COUNTIF(Assumptions!$B$11:$B$11,A149)&gt;0,"تعطیلی فرضی",IF(C149="خیر","تعطیلی هفتگی",""))</x:f>
      </x:c>
    </x:row>
    <x:row r="150" ht="34" customHeight="1">
      <x:c r="A150" s="48" t="n">
        <x:f>Assumptions!$B$7+142</x:f>
        <x:v>46440</x:v>
      </x:c>
      <x:c r="B150" s="24" t="n">
        <x:f>WEEKDAY(A150,2)</x:f>
        <x:v>1</x:v>
      </x:c>
      <x:c r="C150" s="46" t="str">
        <x:f>IF(WORKDAY.INTL(A150-1,1,Assumptions!$B$9,Assumptions!$B$11:$B$11)=A150,"بله","خیر")</x:f>
        <x:v>بله</x:v>
      </x:c>
      <x:c r="D150" s="24" t="str">
        <x:f>IF(COUNTIF(Assumptions!$B$11:$B$11,A150)&gt;0,"تعطیلی فرضی",IF(C150="خیر","تعطیلی هفتگی",""))</x:f>
      </x:c>
    </x:row>
    <x:row r="151" ht="34" customHeight="1">
      <x:c r="A151" s="48" t="n">
        <x:f>Assumptions!$B$7+143</x:f>
        <x:v>46441</x:v>
      </x:c>
      <x:c r="B151" s="24" t="n">
        <x:f>WEEKDAY(A151,2)</x:f>
        <x:v>2</x:v>
      </x:c>
      <x:c r="C151" s="46" t="str">
        <x:f>IF(WORKDAY.INTL(A151-1,1,Assumptions!$B$9,Assumptions!$B$11:$B$11)=A151,"بله","خیر")</x:f>
        <x:v>بله</x:v>
      </x:c>
      <x:c r="D151" s="24" t="str">
        <x:f>IF(COUNTIF(Assumptions!$B$11:$B$11,A151)&gt;0,"تعطیلی فرضی",IF(C151="خیر","تعطیلی هفتگی",""))</x:f>
      </x:c>
    </x:row>
    <x:row r="152" ht="34" customHeight="1">
      <x:c r="A152" s="48" t="n">
        <x:f>Assumptions!$B$7+144</x:f>
        <x:v>46442</x:v>
      </x:c>
      <x:c r="B152" s="24" t="n">
        <x:f>WEEKDAY(A152,2)</x:f>
        <x:v>3</x:v>
      </x:c>
      <x:c r="C152" s="46" t="str">
        <x:f>IF(WORKDAY.INTL(A152-1,1,Assumptions!$B$9,Assumptions!$B$11:$B$11)=A152,"بله","خیر")</x:f>
        <x:v>بله</x:v>
      </x:c>
      <x:c r="D152" s="24" t="str">
        <x:f>IF(COUNTIF(Assumptions!$B$11:$B$11,A152)&gt;0,"تعطیلی فرضی",IF(C152="خیر","تعطیلی هفتگی",""))</x:f>
      </x:c>
    </x:row>
    <x:row r="153" ht="34" customHeight="1">
      <x:c r="A153" s="48" t="n">
        <x:f>Assumptions!$B$7+145</x:f>
        <x:v>46443</x:v>
      </x:c>
      <x:c r="B153" s="24" t="n">
        <x:f>WEEKDAY(A153,2)</x:f>
        <x:v>4</x:v>
      </x:c>
      <x:c r="C153" s="46" t="str">
        <x:f>IF(WORKDAY.INTL(A153-1,1,Assumptions!$B$9,Assumptions!$B$11:$B$11)=A153,"بله","خیر")</x:f>
        <x:v>بله</x:v>
      </x:c>
      <x:c r="D153" s="24" t="str">
        <x:f>IF(COUNTIF(Assumptions!$B$11:$B$11,A153)&gt;0,"تعطیلی فرضی",IF(C153="خیر","تعطیلی هفتگی",""))</x:f>
      </x:c>
    </x:row>
    <x:row r="154" ht="34" customHeight="1">
      <x:c r="A154" s="48" t="n">
        <x:f>Assumptions!$B$7+146</x:f>
        <x:v>46444</x:v>
      </x:c>
      <x:c r="B154" s="24" t="n">
        <x:f>WEEKDAY(A154,2)</x:f>
        <x:v>5</x:v>
      </x:c>
      <x:c r="C154" s="46" t="str">
        <x:f>IF(WORKDAY.INTL(A154-1,1,Assumptions!$B$9,Assumptions!$B$11:$B$11)=A154,"بله","خیر")</x:f>
        <x:v>خیر</x:v>
      </x:c>
      <x:c r="D154" s="46" t="str">
        <x:f>IF(COUNTIF(Assumptions!$B$11:$B$11,A154)&gt;0,"تعطیلی فرضی",IF(C154="خیر","تعطیلی هفتگی",""))</x:f>
        <x:v>تعطیلی هفتگی</x:v>
      </x:c>
    </x:row>
    <x:row r="155" ht="34" customHeight="1">
      <x:c r="A155" s="48" t="n">
        <x:f>Assumptions!$B$7+147</x:f>
        <x:v>46445</x:v>
      </x:c>
      <x:c r="B155" s="24" t="n">
        <x:f>WEEKDAY(A155,2)</x:f>
        <x:v>6</x:v>
      </x:c>
      <x:c r="C155" s="46" t="str">
        <x:f>IF(WORKDAY.INTL(A155-1,1,Assumptions!$B$9,Assumptions!$B$11:$B$11)=A155,"بله","خیر")</x:f>
        <x:v>بله</x:v>
      </x:c>
      <x:c r="D155" s="24" t="str">
        <x:f>IF(COUNTIF(Assumptions!$B$11:$B$11,A155)&gt;0,"تعطیلی فرضی",IF(C155="خیر","تعطیلی هفتگی",""))</x:f>
      </x:c>
    </x:row>
    <x:row r="156" ht="34" customHeight="1">
      <x:c r="A156" s="48" t="n">
        <x:f>Assumptions!$B$7+148</x:f>
        <x:v>46446</x:v>
      </x:c>
      <x:c r="B156" s="24" t="n">
        <x:f>WEEKDAY(A156,2)</x:f>
        <x:v>7</x:v>
      </x:c>
      <x:c r="C156" s="46" t="str">
        <x:f>IF(WORKDAY.INTL(A156-1,1,Assumptions!$B$9,Assumptions!$B$11:$B$11)=A156,"بله","خیر")</x:f>
        <x:v>بله</x:v>
      </x:c>
      <x:c r="D156" s="24" t="str">
        <x:f>IF(COUNTIF(Assumptions!$B$11:$B$11,A156)&gt;0,"تعطیلی فرضی",IF(C156="خیر","تعطیلی هفتگی",""))</x:f>
      </x:c>
    </x:row>
    <x:row r="157" ht="34" customHeight="1">
      <x:c r="A157" s="48" t="n">
        <x:f>Assumptions!$B$7+149</x:f>
        <x:v>46447</x:v>
      </x:c>
      <x:c r="B157" s="24" t="n">
        <x:f>WEEKDAY(A157,2)</x:f>
        <x:v>1</x:v>
      </x:c>
      <x:c r="C157" s="46" t="str">
        <x:f>IF(WORKDAY.INTL(A157-1,1,Assumptions!$B$9,Assumptions!$B$11:$B$11)=A157,"بله","خیر")</x:f>
        <x:v>بله</x:v>
      </x:c>
      <x:c r="D157" s="24" t="str">
        <x:f>IF(COUNTIF(Assumptions!$B$11:$B$11,A157)&gt;0,"تعطیلی فرضی",IF(C157="خیر","تعطیلی هفتگی",""))</x:f>
      </x:c>
    </x:row>
    <x:row r="158" ht="34" customHeight="1">
      <x:c r="A158" s="48" t="n">
        <x:f>Assumptions!$B$7+150</x:f>
        <x:v>46448</x:v>
      </x:c>
      <x:c r="B158" s="24" t="n">
        <x:f>WEEKDAY(A158,2)</x:f>
        <x:v>2</x:v>
      </x:c>
      <x:c r="C158" s="46" t="str">
        <x:f>IF(WORKDAY.INTL(A158-1,1,Assumptions!$B$9,Assumptions!$B$11:$B$11)=A158,"بله","خیر")</x:f>
        <x:v>بله</x:v>
      </x:c>
      <x:c r="D158" s="24" t="str">
        <x:f>IF(COUNTIF(Assumptions!$B$11:$B$11,A158)&gt;0,"تعطیلی فرضی",IF(C158="خیر","تعطیلی هفتگی",""))</x:f>
      </x:c>
    </x:row>
    <x:row r="159" ht="34" customHeight="1">
      <x:c r="A159" s="48" t="n">
        <x:f>Assumptions!$B$7+151</x:f>
        <x:v>46449</x:v>
      </x:c>
      <x:c r="B159" s="24" t="n">
        <x:f>WEEKDAY(A159,2)</x:f>
        <x:v>3</x:v>
      </x:c>
      <x:c r="C159" s="46" t="str">
        <x:f>IF(WORKDAY.INTL(A159-1,1,Assumptions!$B$9,Assumptions!$B$11:$B$11)=A159,"بله","خیر")</x:f>
        <x:v>بله</x:v>
      </x:c>
      <x:c r="D159" s="24" t="str">
        <x:f>IF(COUNTIF(Assumptions!$B$11:$B$11,A159)&gt;0,"تعطیلی فرضی",IF(C159="خیر","تعطیلی هفتگی",""))</x:f>
      </x:c>
    </x:row>
    <x:row r="160" ht="34" customHeight="1">
      <x:c r="A160" s="48" t="n">
        <x:f>Assumptions!$B$7+152</x:f>
        <x:v>46450</x:v>
      </x:c>
      <x:c r="B160" s="24" t="n">
        <x:f>WEEKDAY(A160,2)</x:f>
        <x:v>4</x:v>
      </x:c>
      <x:c r="C160" s="46" t="str">
        <x:f>IF(WORKDAY.INTL(A160-1,1,Assumptions!$B$9,Assumptions!$B$11:$B$11)=A160,"بله","خیر")</x:f>
        <x:v>بله</x:v>
      </x:c>
      <x:c r="D160" s="24" t="str">
        <x:f>IF(COUNTIF(Assumptions!$B$11:$B$11,A160)&gt;0,"تعطیلی فرضی",IF(C160="خیر","تعطیلی هفتگی",""))</x:f>
      </x:c>
    </x:row>
    <x:row r="161" ht="34" customHeight="1">
      <x:c r="A161" s="48" t="n">
        <x:f>Assumptions!$B$7+153</x:f>
        <x:v>46451</x:v>
      </x:c>
      <x:c r="B161" s="24" t="n">
        <x:f>WEEKDAY(A161,2)</x:f>
        <x:v>5</x:v>
      </x:c>
      <x:c r="C161" s="46" t="str">
        <x:f>IF(WORKDAY.INTL(A161-1,1,Assumptions!$B$9,Assumptions!$B$11:$B$11)=A161,"بله","خیر")</x:f>
        <x:v>خیر</x:v>
      </x:c>
      <x:c r="D161" s="46" t="str">
        <x:f>IF(COUNTIF(Assumptions!$B$11:$B$11,A161)&gt;0,"تعطیلی فرضی",IF(C161="خیر","تعطیلی هفتگی",""))</x:f>
        <x:v>تعطیلی هفتگی</x:v>
      </x:c>
    </x:row>
    <x:row r="162" ht="34" customHeight="1">
      <x:c r="A162" s="48" t="n">
        <x:f>Assumptions!$B$7+154</x:f>
        <x:v>46452</x:v>
      </x:c>
      <x:c r="B162" s="24" t="n">
        <x:f>WEEKDAY(A162,2)</x:f>
        <x:v>6</x:v>
      </x:c>
      <x:c r="C162" s="46" t="str">
        <x:f>IF(WORKDAY.INTL(A162-1,1,Assumptions!$B$9,Assumptions!$B$11:$B$11)=A162,"بله","خیر")</x:f>
        <x:v>بله</x:v>
      </x:c>
      <x:c r="D162" s="24" t="str">
        <x:f>IF(COUNTIF(Assumptions!$B$11:$B$11,A162)&gt;0,"تعطیلی فرضی",IF(C162="خیر","تعطیلی هفتگی",""))</x:f>
      </x:c>
    </x:row>
    <x:row r="163" ht="34" customHeight="1">
      <x:c r="A163" s="48" t="n">
        <x:f>Assumptions!$B$7+155</x:f>
        <x:v>46453</x:v>
      </x:c>
      <x:c r="B163" s="24" t="n">
        <x:f>WEEKDAY(A163,2)</x:f>
        <x:v>7</x:v>
      </x:c>
      <x:c r="C163" s="46" t="str">
        <x:f>IF(WORKDAY.INTL(A163-1,1,Assumptions!$B$9,Assumptions!$B$11:$B$11)=A163,"بله","خیر")</x:f>
        <x:v>بله</x:v>
      </x:c>
      <x:c r="D163" s="24" t="str">
        <x:f>IF(COUNTIF(Assumptions!$B$11:$B$11,A163)&gt;0,"تعطیلی فرضی",IF(C163="خیر","تعطیلی هفتگی",""))</x:f>
      </x:c>
    </x:row>
    <x:row r="164" ht="34" customHeight="1">
      <x:c r="A164" s="48" t="n">
        <x:f>Assumptions!$B$7+156</x:f>
        <x:v>46454</x:v>
      </x:c>
      <x:c r="B164" s="24" t="n">
        <x:f>WEEKDAY(A164,2)</x:f>
        <x:v>1</x:v>
      </x:c>
      <x:c r="C164" s="46" t="str">
        <x:f>IF(WORKDAY.INTL(A164-1,1,Assumptions!$B$9,Assumptions!$B$11:$B$11)=A164,"بله","خیر")</x:f>
        <x:v>بله</x:v>
      </x:c>
      <x:c r="D164" s="24" t="str">
        <x:f>IF(COUNTIF(Assumptions!$B$11:$B$11,A164)&gt;0,"تعطیلی فرضی",IF(C164="خیر","تعطیلی هفتگی",""))</x:f>
      </x:c>
    </x:row>
    <x:row r="165" ht="34" customHeight="1">
      <x:c r="A165" s="48" t="n">
        <x:f>Assumptions!$B$7+157</x:f>
        <x:v>46455</x:v>
      </x:c>
      <x:c r="B165" s="24" t="n">
        <x:f>WEEKDAY(A165,2)</x:f>
        <x:v>2</x:v>
      </x:c>
      <x:c r="C165" s="46" t="str">
        <x:f>IF(WORKDAY.INTL(A165-1,1,Assumptions!$B$9,Assumptions!$B$11:$B$11)=A165,"بله","خیر")</x:f>
        <x:v>بله</x:v>
      </x:c>
      <x:c r="D165" s="24" t="str">
        <x:f>IF(COUNTIF(Assumptions!$B$11:$B$11,A165)&gt;0,"تعطیلی فرضی",IF(C165="خیر","تعطیلی هفتگی",""))</x:f>
      </x:c>
    </x:row>
    <x:row r="166" ht="34" customHeight="1">
      <x:c r="A166" s="48" t="n">
        <x:f>Assumptions!$B$7+158</x:f>
        <x:v>46456</x:v>
      </x:c>
      <x:c r="B166" s="24" t="n">
        <x:f>WEEKDAY(A166,2)</x:f>
        <x:v>3</x:v>
      </x:c>
      <x:c r="C166" s="46" t="str">
        <x:f>IF(WORKDAY.INTL(A166-1,1,Assumptions!$B$9,Assumptions!$B$11:$B$11)=A166,"بله","خیر")</x:f>
        <x:v>بله</x:v>
      </x:c>
      <x:c r="D166" s="24" t="str">
        <x:f>IF(COUNTIF(Assumptions!$B$11:$B$11,A166)&gt;0,"تعطیلی فرضی",IF(C166="خیر","تعطیلی هفتگی",""))</x:f>
      </x:c>
    </x:row>
    <x:row r="167" ht="34" customHeight="1">
      <x:c r="A167" s="48" t="n">
        <x:f>Assumptions!$B$7+159</x:f>
        <x:v>46457</x:v>
      </x:c>
      <x:c r="B167" s="24" t="n">
        <x:f>WEEKDAY(A167,2)</x:f>
        <x:v>4</x:v>
      </x:c>
      <x:c r="C167" s="46" t="str">
        <x:f>IF(WORKDAY.INTL(A167-1,1,Assumptions!$B$9,Assumptions!$B$11:$B$11)=A167,"بله","خیر")</x:f>
        <x:v>بله</x:v>
      </x:c>
      <x:c r="D167" s="24" t="str">
        <x:f>IF(COUNTIF(Assumptions!$B$11:$B$11,A167)&gt;0,"تعطیلی فرضی",IF(C167="خیر","تعطیلی هفتگی",""))</x:f>
      </x:c>
    </x:row>
    <x:row r="168" ht="34" customHeight="1">
      <x:c r="A168" s="48" t="n">
        <x:f>Assumptions!$B$7+160</x:f>
        <x:v>46458</x:v>
      </x:c>
      <x:c r="B168" s="24" t="n">
        <x:f>WEEKDAY(A168,2)</x:f>
        <x:v>5</x:v>
      </x:c>
      <x:c r="C168" s="46" t="str">
        <x:f>IF(WORKDAY.INTL(A168-1,1,Assumptions!$B$9,Assumptions!$B$11:$B$11)=A168,"بله","خیر")</x:f>
        <x:v>خیر</x:v>
      </x:c>
      <x:c r="D168" s="46" t="str">
        <x:f>IF(COUNTIF(Assumptions!$B$11:$B$11,A168)&gt;0,"تعطیلی فرضی",IF(C168="خیر","تعطیلی هفتگی",""))</x:f>
        <x:v>تعطیلی هفتگی</x:v>
      </x:c>
    </x:row>
    <x:row r="169" ht="34" customHeight="1">
      <x:c r="A169" s="48" t="n">
        <x:f>Assumptions!$B$7+161</x:f>
        <x:v>46459</x:v>
      </x:c>
      <x:c r="B169" s="24" t="n">
        <x:f>WEEKDAY(A169,2)</x:f>
        <x:v>6</x:v>
      </x:c>
      <x:c r="C169" s="46" t="str">
        <x:f>IF(WORKDAY.INTL(A169-1,1,Assumptions!$B$9,Assumptions!$B$11:$B$11)=A169,"بله","خیر")</x:f>
        <x:v>بله</x:v>
      </x:c>
      <x:c r="D169" s="24" t="str">
        <x:f>IF(COUNTIF(Assumptions!$B$11:$B$11,A169)&gt;0,"تعطیلی فرضی",IF(C169="خیر","تعطیلی هفتگی",""))</x:f>
      </x:c>
    </x:row>
    <x:row r="170" ht="34" customHeight="1">
      <x:c r="A170" s="48" t="n">
        <x:f>Assumptions!$B$7+162</x:f>
        <x:v>46460</x:v>
      </x:c>
      <x:c r="B170" s="24" t="n">
        <x:f>WEEKDAY(A170,2)</x:f>
        <x:v>7</x:v>
      </x:c>
      <x:c r="C170" s="46" t="str">
        <x:f>IF(WORKDAY.INTL(A170-1,1,Assumptions!$B$9,Assumptions!$B$11:$B$11)=A170,"بله","خیر")</x:f>
        <x:v>بله</x:v>
      </x:c>
      <x:c r="D170" s="24" t="str">
        <x:f>IF(COUNTIF(Assumptions!$B$11:$B$11,A170)&gt;0,"تعطیلی فرضی",IF(C170="خیر","تعطیلی هفتگی",""))</x:f>
      </x:c>
    </x:row>
    <x:row r="171" ht="34" customHeight="1">
      <x:c r="A171" s="48" t="n">
        <x:f>Assumptions!$B$7+163</x:f>
        <x:v>46461</x:v>
      </x:c>
      <x:c r="B171" s="24" t="n">
        <x:f>WEEKDAY(A171,2)</x:f>
        <x:v>1</x:v>
      </x:c>
      <x:c r="C171" s="46" t="str">
        <x:f>IF(WORKDAY.INTL(A171-1,1,Assumptions!$B$9,Assumptions!$B$11:$B$11)=A171,"بله","خیر")</x:f>
        <x:v>بله</x:v>
      </x:c>
      <x:c r="D171" s="24" t="str">
        <x:f>IF(COUNTIF(Assumptions!$B$11:$B$11,A171)&gt;0,"تعطیلی فرضی",IF(C171="خیر","تعطیلی هفتگی",""))</x:f>
      </x:c>
    </x:row>
    <x:row r="172" ht="34" customHeight="1">
      <x:c r="A172" s="48" t="n">
        <x:f>Assumptions!$B$7+164</x:f>
        <x:v>46462</x:v>
      </x:c>
      <x:c r="B172" s="24" t="n">
        <x:f>WEEKDAY(A172,2)</x:f>
        <x:v>2</x:v>
      </x:c>
      <x:c r="C172" s="46" t="str">
        <x:f>IF(WORKDAY.INTL(A172-1,1,Assumptions!$B$9,Assumptions!$B$11:$B$11)=A172,"بله","خیر")</x:f>
        <x:v>بله</x:v>
      </x:c>
      <x:c r="D172" s="24" t="str">
        <x:f>IF(COUNTIF(Assumptions!$B$11:$B$11,A172)&gt;0,"تعطیلی فرضی",IF(C172="خیر","تعطیلی هفتگی",""))</x:f>
      </x:c>
    </x:row>
    <x:row r="173" ht="34" customHeight="1">
      <x:c r="A173" s="48" t="n">
        <x:f>Assumptions!$B$7+165</x:f>
        <x:v>46463</x:v>
      </x:c>
      <x:c r="B173" s="24" t="n">
        <x:f>WEEKDAY(A173,2)</x:f>
        <x:v>3</x:v>
      </x:c>
      <x:c r="C173" s="46" t="str">
        <x:f>IF(WORKDAY.INTL(A173-1,1,Assumptions!$B$9,Assumptions!$B$11:$B$11)=A173,"بله","خیر")</x:f>
        <x:v>بله</x:v>
      </x:c>
      <x:c r="D173" s="24" t="str">
        <x:f>IF(COUNTIF(Assumptions!$B$11:$B$11,A173)&gt;0,"تعطیلی فرضی",IF(C173="خیر","تعطیلی هفتگی",""))</x:f>
      </x:c>
    </x:row>
    <x:row r="174" ht="34" customHeight="1">
      <x:c r="A174" s="48" t="n">
        <x:f>Assumptions!$B$7+166</x:f>
        <x:v>46464</x:v>
      </x:c>
      <x:c r="B174" s="24" t="n">
        <x:f>WEEKDAY(A174,2)</x:f>
        <x:v>4</x:v>
      </x:c>
      <x:c r="C174" s="46" t="str">
        <x:f>IF(WORKDAY.INTL(A174-1,1,Assumptions!$B$9,Assumptions!$B$11:$B$11)=A174,"بله","خیر")</x:f>
        <x:v>بله</x:v>
      </x:c>
      <x:c r="D174" s="24" t="str">
        <x:f>IF(COUNTIF(Assumptions!$B$11:$B$11,A174)&gt;0,"تعطیلی فرضی",IF(C174="خیر","تعطیلی هفتگی",""))</x:f>
      </x:c>
    </x:row>
    <x:row r="175" ht="34" customHeight="1">
      <x:c r="A175" s="48" t="n">
        <x:f>Assumptions!$B$7+167</x:f>
        <x:v>46465</x:v>
      </x:c>
      <x:c r="B175" s="24" t="n">
        <x:f>WEEKDAY(A175,2)</x:f>
        <x:v>5</x:v>
      </x:c>
      <x:c r="C175" s="46" t="str">
        <x:f>IF(WORKDAY.INTL(A175-1,1,Assumptions!$B$9,Assumptions!$B$11:$B$11)=A175,"بله","خیر")</x:f>
        <x:v>خیر</x:v>
      </x:c>
      <x:c r="D175" s="46" t="str">
        <x:f>IF(COUNTIF(Assumptions!$B$11:$B$11,A175)&gt;0,"تعطیلی فرضی",IF(C175="خیر","تعطیلی هفتگی",""))</x:f>
        <x:v>تعطیلی هفتگی</x:v>
      </x:c>
    </x:row>
    <x:row r="176" ht="34" customHeight="1">
      <x:c r="A176" s="48" t="n">
        <x:f>Assumptions!$B$7+168</x:f>
        <x:v>46466</x:v>
      </x:c>
      <x:c r="B176" s="24" t="n">
        <x:f>WEEKDAY(A176,2)</x:f>
        <x:v>6</x:v>
      </x:c>
      <x:c r="C176" s="46" t="str">
        <x:f>IF(WORKDAY.INTL(A176-1,1,Assumptions!$B$9,Assumptions!$B$11:$B$11)=A176,"بله","خیر")</x:f>
        <x:v>بله</x:v>
      </x:c>
      <x:c r="D176" s="24" t="str">
        <x:f>IF(COUNTIF(Assumptions!$B$11:$B$11,A176)&gt;0,"تعطیلی فرضی",IF(C176="خیر","تعطیلی هفتگی",""))</x:f>
      </x:c>
    </x:row>
    <x:row r="177" ht="34" customHeight="1">
      <x:c r="A177" s="48" t="n">
        <x:f>Assumptions!$B$7+169</x:f>
        <x:v>46467</x:v>
      </x:c>
      <x:c r="B177" s="24" t="n">
        <x:f>WEEKDAY(A177,2)</x:f>
        <x:v>7</x:v>
      </x:c>
      <x:c r="C177" s="46" t="str">
        <x:f>IF(WORKDAY.INTL(A177-1,1,Assumptions!$B$9,Assumptions!$B$11:$B$11)=A177,"بله","خیر")</x:f>
        <x:v>بله</x:v>
      </x:c>
      <x:c r="D177" s="24" t="str">
        <x:f>IF(COUNTIF(Assumptions!$B$11:$B$11,A177)&gt;0,"تعطیلی فرضی",IF(C177="خیر","تعطیلی هفتگی",""))</x:f>
      </x:c>
    </x:row>
    <x:row r="178" ht="34" customHeight="1">
      <x:c r="A178" s="48" t="n">
        <x:f>Assumptions!$B$7+170</x:f>
        <x:v>46468</x:v>
      </x:c>
      <x:c r="B178" s="24" t="n">
        <x:f>WEEKDAY(A178,2)</x:f>
        <x:v>1</x:v>
      </x:c>
      <x:c r="C178" s="46" t="str">
        <x:f>IF(WORKDAY.INTL(A178-1,1,Assumptions!$B$9,Assumptions!$B$11:$B$11)=A178,"بله","خیر")</x:f>
        <x:v>بله</x:v>
      </x:c>
      <x:c r="D178" s="24" t="str">
        <x:f>IF(COUNTIF(Assumptions!$B$11:$B$11,A178)&gt;0,"تعطیلی فرضی",IF(C178="خیر","تعطیلی هفتگی",""))</x:f>
      </x:c>
    </x:row>
    <x:row r="179" ht="34" customHeight="1">
      <x:c r="A179" s="48" t="n">
        <x:f>Assumptions!$B$7+171</x:f>
        <x:v>46469</x:v>
      </x:c>
      <x:c r="B179" s="24" t="n">
        <x:f>WEEKDAY(A179,2)</x:f>
        <x:v>2</x:v>
      </x:c>
      <x:c r="C179" s="46" t="str">
        <x:f>IF(WORKDAY.INTL(A179-1,1,Assumptions!$B$9,Assumptions!$B$11:$B$11)=A179,"بله","خیر")</x:f>
        <x:v>بله</x:v>
      </x:c>
      <x:c r="D179" s="24" t="str">
        <x:f>IF(COUNTIF(Assumptions!$B$11:$B$11,A179)&gt;0,"تعطیلی فرضی",IF(C179="خیر","تعطیلی هفتگی",""))</x:f>
      </x:c>
    </x:row>
    <x:row r="180" ht="34" customHeight="1">
      <x:c r="A180" s="48" t="n">
        <x:f>Assumptions!$B$7+172</x:f>
        <x:v>46470</x:v>
      </x:c>
      <x:c r="B180" s="24" t="n">
        <x:f>WEEKDAY(A180,2)</x:f>
        <x:v>3</x:v>
      </x:c>
      <x:c r="C180" s="46" t="str">
        <x:f>IF(WORKDAY.INTL(A180-1,1,Assumptions!$B$9,Assumptions!$B$11:$B$11)=A180,"بله","خیر")</x:f>
        <x:v>بله</x:v>
      </x:c>
      <x:c r="D180" s="24" t="str">
        <x:f>IF(COUNTIF(Assumptions!$B$11:$B$11,A180)&gt;0,"تعطیلی فرضی",IF(C180="خیر","تعطیلی هفتگی",""))</x:f>
      </x:c>
    </x:row>
    <x:row r="181" ht="34" customHeight="1">
      <x:c r="A181" s="48" t="n">
        <x:f>Assumptions!$B$7+173</x:f>
        <x:v>46471</x:v>
      </x:c>
      <x:c r="B181" s="24" t="n">
        <x:f>WEEKDAY(A181,2)</x:f>
        <x:v>4</x:v>
      </x:c>
      <x:c r="C181" s="46" t="str">
        <x:f>IF(WORKDAY.INTL(A181-1,1,Assumptions!$B$9,Assumptions!$B$11:$B$11)=A181,"بله","خیر")</x:f>
        <x:v>بله</x:v>
      </x:c>
      <x:c r="D181" s="24" t="str">
        <x:f>IF(COUNTIF(Assumptions!$B$11:$B$11,A181)&gt;0,"تعطیلی فرضی",IF(C181="خیر","تعطیلی هفتگی",""))</x:f>
      </x:c>
    </x:row>
    <x:row r="182" ht="34" customHeight="1">
      <x:c r="A182" s="48" t="n">
        <x:f>Assumptions!$B$7+174</x:f>
        <x:v>46472</x:v>
      </x:c>
      <x:c r="B182" s="24" t="n">
        <x:f>WEEKDAY(A182,2)</x:f>
        <x:v>5</x:v>
      </x:c>
      <x:c r="C182" s="46" t="str">
        <x:f>IF(WORKDAY.INTL(A182-1,1,Assumptions!$B$9,Assumptions!$B$11:$B$11)=A182,"بله","خیر")</x:f>
        <x:v>خیر</x:v>
      </x:c>
      <x:c r="D182" s="46" t="str">
        <x:f>IF(COUNTIF(Assumptions!$B$11:$B$11,A182)&gt;0,"تعطیلی فرضی",IF(C182="خیر","تعطیلی هفتگی",""))</x:f>
        <x:v>تعطیلی هفتگی</x:v>
      </x:c>
    </x:row>
    <x:row r="183" ht="34" customHeight="1">
      <x:c r="A183" s="48" t="n">
        <x:f>Assumptions!$B$7+175</x:f>
        <x:v>46473</x:v>
      </x:c>
      <x:c r="B183" s="24" t="n">
        <x:f>WEEKDAY(A183,2)</x:f>
        <x:v>6</x:v>
      </x:c>
      <x:c r="C183" s="46" t="str">
        <x:f>IF(WORKDAY.INTL(A183-1,1,Assumptions!$B$9,Assumptions!$B$11:$B$11)=A183,"بله","خیر")</x:f>
        <x:v>بله</x:v>
      </x:c>
      <x:c r="D183" s="24" t="str">
        <x:f>IF(COUNTIF(Assumptions!$B$11:$B$11,A183)&gt;0,"تعطیلی فرضی",IF(C183="خیر","تعطیلی هفتگی",""))</x:f>
      </x:c>
    </x:row>
    <x:row r="184" ht="34" customHeight="1">
      <x:c r="A184" s="48" t="n">
        <x:f>Assumptions!$B$7+176</x:f>
        <x:v>46474</x:v>
      </x:c>
      <x:c r="B184" s="24" t="n">
        <x:f>WEEKDAY(A184,2)</x:f>
        <x:v>7</x:v>
      </x:c>
      <x:c r="C184" s="46" t="str">
        <x:f>IF(WORKDAY.INTL(A184-1,1,Assumptions!$B$9,Assumptions!$B$11:$B$11)=A184,"بله","خیر")</x:f>
        <x:v>بله</x:v>
      </x:c>
      <x:c r="D184" s="24" t="str">
        <x:f>IF(COUNTIF(Assumptions!$B$11:$B$11,A184)&gt;0,"تعطیلی فرضی",IF(C184="خیر","تعطیلی هفتگی",""))</x:f>
      </x:c>
    </x:row>
    <x:row r="185" ht="34" customHeight="1">
      <x:c r="A185" s="48" t="n">
        <x:f>Assumptions!$B$7+177</x:f>
        <x:v>46475</x:v>
      </x:c>
      <x:c r="B185" s="24" t="n">
        <x:f>WEEKDAY(A185,2)</x:f>
        <x:v>1</x:v>
      </x:c>
      <x:c r="C185" s="46" t="str">
        <x:f>IF(WORKDAY.INTL(A185-1,1,Assumptions!$B$9,Assumptions!$B$11:$B$11)=A185,"بله","خیر")</x:f>
        <x:v>بله</x:v>
      </x:c>
      <x:c r="D185" s="24" t="str">
        <x:f>IF(COUNTIF(Assumptions!$B$11:$B$11,A185)&gt;0,"تعطیلی فرضی",IF(C185="خیر","تعطیلی هفتگی",""))</x:f>
      </x:c>
    </x:row>
    <x:row r="186" ht="34" customHeight="1">
      <x:c r="A186" s="48" t="n">
        <x:f>Assumptions!$B$7+178</x:f>
        <x:v>46476</x:v>
      </x:c>
      <x:c r="B186" s="24" t="n">
        <x:f>WEEKDAY(A186,2)</x:f>
        <x:v>2</x:v>
      </x:c>
      <x:c r="C186" s="46" t="str">
        <x:f>IF(WORKDAY.INTL(A186-1,1,Assumptions!$B$9,Assumptions!$B$11:$B$11)=A186,"بله","خیر")</x:f>
        <x:v>بله</x:v>
      </x:c>
      <x:c r="D186" s="24" t="str">
        <x:f>IF(COUNTIF(Assumptions!$B$11:$B$11,A186)&gt;0,"تعطیلی فرضی",IF(C186="خیر","تعطیلی هفتگی",""))</x:f>
      </x:c>
    </x:row>
    <x:row r="187" ht="34" customHeight="1">
      <x:c r="A187" s="48" t="n">
        <x:f>Assumptions!$B$7+179</x:f>
        <x:v>46477</x:v>
      </x:c>
      <x:c r="B187" s="24" t="n">
        <x:f>WEEKDAY(A187,2)</x:f>
        <x:v>3</x:v>
      </x:c>
      <x:c r="C187" s="46" t="str">
        <x:f>IF(WORKDAY.INTL(A187-1,1,Assumptions!$B$9,Assumptions!$B$11:$B$11)=A187,"بله","خیر")</x:f>
        <x:v>بله</x:v>
      </x:c>
      <x:c r="D187" s="24" t="str">
        <x:f>IF(COUNTIF(Assumptions!$B$11:$B$11,A187)&gt;0,"تعطیلی فرضی",IF(C187="خیر","تعطیلی هفتگی",""))</x:f>
      </x:c>
    </x:row>
    <x:row r="188" ht="34" customHeight="1">
      <x:c r="A188" s="24"/>
      <x:c r="B188" s="24"/>
      <x:c r="C188" s="24"/>
      <x:c r="D188" s="24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74B35"/>
  </x:sheetPr>
  <x:sheetViews>
    <x:sheetView showGridLines="0" workbookViewId="0"/>
  </x:sheetViews>
  <x:sheetFormatPr defaultRowHeight="15"/>
  <x:cols>
    <x:col min="1" max="1" width="18.1299991607666" hidden="0" customWidth="1"/>
    <x:col min="2" max="2" width="23.1299991607666" hidden="0" customWidth="1"/>
    <x:col min="3" max="3" width="50" hidden="0" customWidth="1"/>
    <x:col min="4" max="4" width="33.130001068115234" hidden="0" customWidth="1"/>
    <x:col min="5" max="5" width="10" hidden="0" customWidth="1"/>
  </x:cols>
  <x:sheetData>
    <x:row r="1" ht="34" customHeight="1">
      <x:c r="A1" s="24"/>
      <x:c r="B1" s="24"/>
      <x:c r="C1" s="24"/>
      <x:c r="D1" s="24"/>
      <x:c r="E1" s="24"/>
    </x:row>
    <x:row r="2" ht="38" customHeight="1">
      <x:c r="A2" s="36" t="str">
        <x:v>سابقه به‌روزرسانی | مدیرساخت</x:v>
      </x:c>
      <x:c r="B2" s="24"/>
      <x:c r="C2" s="24"/>
      <x:c r="D2" s="24"/>
      <x:c r="E2" s="24"/>
    </x:row>
    <x:row r="3" ht="28" customHeight="1">
      <x:c r="A3" s="38" t="str">
        <x:v>یک تغییر فرضی؛ شناسه گزارش روزانه به همان تاریخ وضعیت و فعالیت متصل است.</x:v>
      </x:c>
      <x:c r="B3" s="24"/>
      <x:c r="C3" s="24"/>
      <x:c r="D3" s="24"/>
      <x:c r="E3" s="24"/>
    </x:row>
    <x:row r="4" ht="34" customHeight="1">
      <x:c r="A4" s="24"/>
      <x:c r="B4" s="24"/>
      <x:c r="C4" s="24"/>
      <x:c r="D4" s="24"/>
      <x:c r="E4" s="24"/>
    </x:row>
    <x:row r="5" ht="34" customHeight="1">
      <x:c r="A5" s="24"/>
      <x:c r="B5" s="24"/>
      <x:c r="C5" s="24"/>
      <x:c r="D5" s="24"/>
      <x:c r="E5" s="24"/>
    </x:row>
    <x:row r="6" ht="40" customHeight="1">
      <x:c r="A6" s="40" t="str">
        <x:v>تاریخ وضعیت</x:v>
      </x:c>
      <x:c r="B6" s="40" t="str">
        <x:v>شناسه فعالیت</x:v>
      </x:c>
      <x:c r="C6" s="40" t="str">
        <x:v>تغییر / دلیل</x:v>
      </x:c>
      <x:c r="D6" s="40" t="str">
        <x:v>مرجع</x:v>
      </x:c>
      <x:c r="E6" s="40" t="str">
        <x:v>نسخه</x:v>
      </x:c>
    </x:row>
    <x:row r="7" ht="70" customHeight="1">
      <x:c r="A7" s="32" t="n">
        <x:v>46334</x:v>
      </x:c>
      <x:c r="B7" s="29" t="str">
        <x:v>ACT-1.3.2-02</x:v>
      </x:c>
      <x:c r="C7" s="42" t="str">
        <x:v>دو روز کاری به مدت باقیمانده سقف طبقه ۲ اضافه شده؛ برنامه مبنا حفظ شده است.</x:v>
      </x:c>
      <x:c r="D7" s="29" t="str">
        <x:v>P04-DLY-20261108-R00</x:v>
      </x:c>
      <x:c r="E7" s="29" t="str">
        <x:v>U01</x:v>
      </x:c>
    </x:row>
    <x:row r="8" ht="70" customHeight="1">
      <x:c r="A8" s="29"/>
      <x:c r="B8" s="29"/>
      <x:c r="C8" s="29"/>
      <x:c r="D8" s="29"/>
      <x:c r="E8" s="29"/>
    </x:row>
    <x:row r="9" ht="70" customHeight="1">
      <x:c r="A9" s="29"/>
      <x:c r="B9" s="29"/>
      <x:c r="C9" s="29"/>
      <x:c r="D9" s="29"/>
      <x:c r="E9" s="29"/>
    </x:row>
    <x:row r="10" ht="70" customHeight="1">
      <x:c r="A10" s="29"/>
      <x:c r="B10" s="29"/>
      <x:c r="C10" s="29"/>
      <x:c r="D10" s="29"/>
      <x:c r="E10" s="29"/>
    </x:row>
    <x:row r="11" ht="34" customHeight="1">
      <x:c r="A11" s="24"/>
      <x:c r="B11" s="24"/>
      <x:c r="C11" s="24"/>
      <x:c r="D11" s="24"/>
      <x:c r="E11" s="24"/>
    </x:row>
    <x:row r="12" ht="34" customHeight="1">
      <x:c r="A12" s="24"/>
      <x:c r="B12" s="24"/>
      <x:c r="C12" s="24"/>
      <x:c r="D12" s="24"/>
      <x:c r="E12" s="24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74B35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2.5" hidden="0" customWidth="1"/>
    <x:col min="2" max="2" width="11.25" hidden="0" customWidth="1"/>
    <x:col min="3" max="3" width="33.75" hidden="0" customWidth="1"/>
    <x:col min="4" max="4" width="18.75" hidden="0" customWidth="1"/>
    <x:col min="5" max="5" width="12.5" hidden="0" customWidth="1"/>
    <x:col min="6" max="6" width="13.75" hidden="0" customWidth="1"/>
    <x:col min="7" max="7" width="13.75" hidden="0" customWidth="1"/>
    <x:col min="8" max="8" width="13.75" hidden="0" customWidth="1"/>
    <x:col min="9" max="9" width="15" hidden="0" customWidth="1"/>
    <x:col min="10" max="10" width="15" hidden="0" customWidth="1"/>
  </x:cols>
  <x:sheetData>
    <x:row r="1" ht="34" customHeight="1">
      <x:c r="A1" s="24"/>
      <x:c r="B1" s="24"/>
      <x:c r="C1" s="24"/>
      <x:c r="D1" s="24"/>
      <x:c r="E1" s="24"/>
      <x:c r="F1" s="24"/>
      <x:c r="G1" s="24"/>
      <x:c r="H1" s="24"/>
      <x:c r="I1" s="24"/>
      <x:c r="J1" s="24"/>
    </x:row>
    <x:row r="2" ht="38" customHeight="1">
      <x:c r="A2" s="36" t="str">
        <x:v>جدول خام ساخت برنامه اولیه | مدیرساخت</x:v>
      </x:c>
      <x:c r="B2" s="24"/>
      <x:c r="C2" s="24"/>
      <x:c r="D2" s="24"/>
      <x:c r="E2" s="24"/>
      <x:c r="F2" s="24"/>
      <x:c r="G2" s="24"/>
      <x:c r="H2" s="24"/>
      <x:c r="I2" s="24"/>
      <x:c r="J2" s="24"/>
    </x:row>
    <x:row r="3" ht="28" customHeight="1">
      <x:c r="A3" s="38" t="str">
        <x:v>شناسه‌های یکتا را نگه دارید یا اصلاح کنید؛ عنوان، مدت مثبت و پیش‌نیاز ردیف بالاتر را وارد کنید.</x:v>
      </x:c>
      <x:c r="B3" s="24"/>
      <x:c r="C3" s="24"/>
      <x:c r="D3" s="24"/>
      <x:c r="E3" s="24"/>
      <x:c r="F3" s="24"/>
      <x:c r="G3" s="24"/>
      <x:c r="H3" s="24"/>
      <x:c r="I3" s="24"/>
      <x:c r="J3" s="24"/>
    </x:row>
    <x:row r="4" ht="28" customHeight="1">
      <x:c r="A4" s="38" t="str">
        <x:v>این جدول خام برای برنامه اولیه است؛ به‌روزرسانی واقعی را طبق ساختار Activities توسعه دهید.</x:v>
      </x:c>
      <x:c r="B4" s="24"/>
      <x:c r="C4" s="24"/>
      <x:c r="D4" s="24"/>
      <x:c r="E4" s="24"/>
      <x:c r="F4" s="24"/>
      <x:c r="G4" s="24"/>
      <x:c r="H4" s="24"/>
      <x:c r="I4" s="24"/>
      <x:c r="J4" s="24"/>
    </x:row>
    <x:row r="5" ht="34" customHeight="1">
      <x:c r="A5" s="24"/>
      <x:c r="B5" s="24"/>
      <x:c r="C5" s="24"/>
      <x:c r="D5" s="24"/>
      <x:c r="E5" s="24"/>
      <x:c r="F5" s="24"/>
      <x:c r="G5" s="24"/>
      <x:c r="H5" s="24"/>
      <x:c r="I5" s="24"/>
      <x:c r="J5" s="24"/>
    </x:row>
    <x:row r="6" ht="34" customHeight="1">
      <x:c r="A6" s="24"/>
      <x:c r="B6" s="24"/>
      <x:c r="C6" s="24"/>
      <x:c r="D6" s="24"/>
      <x:c r="E6" s="24"/>
      <x:c r="F6" s="24"/>
      <x:c r="G6" s="24"/>
      <x:c r="H6" s="24"/>
      <x:c r="I6" s="24"/>
      <x:c r="J6" s="24"/>
    </x:row>
    <x:row r="7" ht="40" customHeight="1">
      <x:c r="A7" s="40" t="str">
        <x:v>شناسه</x:v>
      </x:c>
      <x:c r="B7" s="40" t="str">
        <x:v>کد WBS</x:v>
      </x:c>
      <x:c r="C7" s="40" t="str">
        <x:v>فعالیت</x:v>
      </x:c>
      <x:c r="D7" s="40" t="str">
        <x:v>مسئول</x:v>
      </x:c>
      <x:c r="E7" s="40" t="str">
        <x:v>مدت کاری</x:v>
      </x:c>
      <x:c r="F7" s="40" t="str">
        <x:v>پیش‌نیاز ۱</x:v>
      </x:c>
      <x:c r="G7" s="40" t="str">
        <x:v>پیش‌نیاز ۲</x:v>
      </x:c>
      <x:c r="H7" s="40" t="str">
        <x:v>پیش‌نیاز ۳</x:v>
      </x:c>
      <x:c r="I7" s="40" t="str">
        <x:v>شروع</x:v>
      </x:c>
      <x:c r="J7" s="40" t="str">
        <x:v>پایان</x:v>
      </x:c>
    </x:row>
    <x:row r="8" ht="34" customHeight="1">
      <x:c r="A8" s="29" t="str">
        <x:v>A001</x:v>
      </x:c>
      <x:c r="B8" s="29"/>
      <x:c r="C8" s="42"/>
      <x:c r="D8" s="42"/>
      <x:c r="E8" s="29"/>
      <x:c r="F8" s="29"/>
      <x:c r="G8" s="29"/>
      <x:c r="H8" s="29"/>
      <x:c r="I8" s="31" t="str">
        <x:f>IF(OR(C8="",E8=""),"",WORKDAY.INTL(MAX(Assumptions!$B$7-1,0),1,Assumptions!$B$9,Assumptions!$B$11:$B$11))</x:f>
      </x:c>
      <x:c r="J8" s="31" t="str">
        <x:f>IF(I8="","",WORKDAY.INTL(I8,E8-1,Assumptions!$B$9,Assumptions!$B$11:$B$11))</x:f>
      </x:c>
    </x:row>
    <x:row r="9" ht="34" customHeight="1">
      <x:c r="A9" s="29" t="str">
        <x:v>A002</x:v>
      </x:c>
      <x:c r="B9" s="29"/>
      <x:c r="C9" s="42"/>
      <x:c r="D9" s="42"/>
      <x:c r="E9" s="29"/>
      <x:c r="F9" s="29"/>
      <x:c r="G9" s="29"/>
      <x:c r="H9" s="29"/>
      <x:c r="I9" s="31" t="str">
        <x:f>IF(OR(C9="",E9=""),"",WORKDAY.INTL(MAX(Assumptions!$B$7-1,IF(F9="",0,VLOOKUP(F9,$A$8:$J$8,10,FALSE)),IF(G9="",0,VLOOKUP(G9,$A$8:$J$8,10,FALSE)),IF(H9="",0,VLOOKUP(H9,$A$8:$J$8,10,FALSE))),1,Assumptions!$B$9,Assumptions!$B$11:$B$11))</x:f>
      </x:c>
      <x:c r="J9" s="31" t="str">
        <x:f>IF(I9="","",WORKDAY.INTL(I9,E9-1,Assumptions!$B$9,Assumptions!$B$11:$B$11))</x:f>
      </x:c>
    </x:row>
    <x:row r="10" ht="34" customHeight="1">
      <x:c r="A10" s="29" t="str">
        <x:v>A003</x:v>
      </x:c>
      <x:c r="B10" s="29"/>
      <x:c r="C10" s="42"/>
      <x:c r="D10" s="42"/>
      <x:c r="E10" s="29"/>
      <x:c r="F10" s="29"/>
      <x:c r="G10" s="29"/>
      <x:c r="H10" s="29"/>
      <x:c r="I10" s="31" t="str">
        <x:f>IF(OR(C10="",E10=""),"",WORKDAY.INTL(MAX(Assumptions!$B$7-1,IF(F10="",0,VLOOKUP(F10,$A$8:$J$9,10,FALSE)),IF(G10="",0,VLOOKUP(G10,$A$8:$J$9,10,FALSE)),IF(H10="",0,VLOOKUP(H10,$A$8:$J$9,10,FALSE))),1,Assumptions!$B$9,Assumptions!$B$11:$B$11))</x:f>
      </x:c>
      <x:c r="J10" s="31" t="str">
        <x:f>IF(I10="","",WORKDAY.INTL(I10,E10-1,Assumptions!$B$9,Assumptions!$B$11:$B$11))</x:f>
      </x:c>
    </x:row>
    <x:row r="11" ht="34" customHeight="1">
      <x:c r="A11" s="29" t="str">
        <x:v>A004</x:v>
      </x:c>
      <x:c r="B11" s="29"/>
      <x:c r="C11" s="42"/>
      <x:c r="D11" s="42"/>
      <x:c r="E11" s="29"/>
      <x:c r="F11" s="29"/>
      <x:c r="G11" s="29"/>
      <x:c r="H11" s="29"/>
      <x:c r="I11" s="31" t="str">
        <x:f>IF(OR(C11="",E11=""),"",WORKDAY.INTL(MAX(Assumptions!$B$7-1,IF(F11="",0,VLOOKUP(F11,$A$8:$J$10,10,FALSE)),IF(G11="",0,VLOOKUP(G11,$A$8:$J$10,10,FALSE)),IF(H11="",0,VLOOKUP(H11,$A$8:$J$10,10,FALSE))),1,Assumptions!$B$9,Assumptions!$B$11:$B$11))</x:f>
      </x:c>
      <x:c r="J11" s="31" t="str">
        <x:f>IF(I11="","",WORKDAY.INTL(I11,E11-1,Assumptions!$B$9,Assumptions!$B$11:$B$11))</x:f>
      </x:c>
    </x:row>
    <x:row r="12" ht="34" customHeight="1">
      <x:c r="A12" s="29" t="str">
        <x:v>A005</x:v>
      </x:c>
      <x:c r="B12" s="29"/>
      <x:c r="C12" s="42"/>
      <x:c r="D12" s="42"/>
      <x:c r="E12" s="29"/>
      <x:c r="F12" s="29"/>
      <x:c r="G12" s="29"/>
      <x:c r="H12" s="29"/>
      <x:c r="I12" s="31" t="str">
        <x:f>IF(OR(C12="",E12=""),"",WORKDAY.INTL(MAX(Assumptions!$B$7-1,IF(F12="",0,VLOOKUP(F12,$A$8:$J$11,10,FALSE)),IF(G12="",0,VLOOKUP(G12,$A$8:$J$11,10,FALSE)),IF(H12="",0,VLOOKUP(H12,$A$8:$J$11,10,FALSE))),1,Assumptions!$B$9,Assumptions!$B$11:$B$11))</x:f>
      </x:c>
      <x:c r="J12" s="31" t="str">
        <x:f>IF(I12="","",WORKDAY.INTL(I12,E12-1,Assumptions!$B$9,Assumptions!$B$11:$B$11))</x:f>
      </x:c>
    </x:row>
    <x:row r="13" ht="34" customHeight="1">
      <x:c r="A13" s="29" t="str">
        <x:v>A006</x:v>
      </x:c>
      <x:c r="B13" s="29"/>
      <x:c r="C13" s="42"/>
      <x:c r="D13" s="42"/>
      <x:c r="E13" s="29"/>
      <x:c r="F13" s="29"/>
      <x:c r="G13" s="29"/>
      <x:c r="H13" s="29"/>
      <x:c r="I13" s="31" t="str">
        <x:f>IF(OR(C13="",E13=""),"",WORKDAY.INTL(MAX(Assumptions!$B$7-1,IF(F13="",0,VLOOKUP(F13,$A$8:$J$12,10,FALSE)),IF(G13="",0,VLOOKUP(G13,$A$8:$J$12,10,FALSE)),IF(H13="",0,VLOOKUP(H13,$A$8:$J$12,10,FALSE))),1,Assumptions!$B$9,Assumptions!$B$11:$B$11))</x:f>
      </x:c>
      <x:c r="J13" s="31" t="str">
        <x:f>IF(I13="","",WORKDAY.INTL(I13,E13-1,Assumptions!$B$9,Assumptions!$B$11:$B$11))</x:f>
      </x:c>
    </x:row>
    <x:row r="14" ht="34" customHeight="1">
      <x:c r="A14" s="29" t="str">
        <x:v>A007</x:v>
      </x:c>
      <x:c r="B14" s="29"/>
      <x:c r="C14" s="42"/>
      <x:c r="D14" s="42"/>
      <x:c r="E14" s="29"/>
      <x:c r="F14" s="29"/>
      <x:c r="G14" s="29"/>
      <x:c r="H14" s="29"/>
      <x:c r="I14" s="31" t="str">
        <x:f>IF(OR(C14="",E14=""),"",WORKDAY.INTL(MAX(Assumptions!$B$7-1,IF(F14="",0,VLOOKUP(F14,$A$8:$J$13,10,FALSE)),IF(G14="",0,VLOOKUP(G14,$A$8:$J$13,10,FALSE)),IF(H14="",0,VLOOKUP(H14,$A$8:$J$13,10,FALSE))),1,Assumptions!$B$9,Assumptions!$B$11:$B$11))</x:f>
      </x:c>
      <x:c r="J14" s="31" t="str">
        <x:f>IF(I14="","",WORKDAY.INTL(I14,E14-1,Assumptions!$B$9,Assumptions!$B$11:$B$11))</x:f>
      </x:c>
    </x:row>
    <x:row r="15" ht="34" customHeight="1">
      <x:c r="A15" s="29" t="str">
        <x:v>A008</x:v>
      </x:c>
      <x:c r="B15" s="29"/>
      <x:c r="C15" s="42"/>
      <x:c r="D15" s="42"/>
      <x:c r="E15" s="29"/>
      <x:c r="F15" s="29"/>
      <x:c r="G15" s="29"/>
      <x:c r="H15" s="29"/>
      <x:c r="I15" s="31" t="str">
        <x:f>IF(OR(C15="",E15=""),"",WORKDAY.INTL(MAX(Assumptions!$B$7-1,IF(F15="",0,VLOOKUP(F15,$A$8:$J$14,10,FALSE)),IF(G15="",0,VLOOKUP(G15,$A$8:$J$14,10,FALSE)),IF(H15="",0,VLOOKUP(H15,$A$8:$J$14,10,FALSE))),1,Assumptions!$B$9,Assumptions!$B$11:$B$11))</x:f>
      </x:c>
      <x:c r="J15" s="31" t="str">
        <x:f>IF(I15="","",WORKDAY.INTL(I15,E15-1,Assumptions!$B$9,Assumptions!$B$11:$B$11))</x:f>
      </x:c>
    </x:row>
    <x:row r="16" ht="34" customHeight="1">
      <x:c r="A16" s="29" t="str">
        <x:v>A009</x:v>
      </x:c>
      <x:c r="B16" s="29"/>
      <x:c r="C16" s="42"/>
      <x:c r="D16" s="42"/>
      <x:c r="E16" s="29"/>
      <x:c r="F16" s="29"/>
      <x:c r="G16" s="29"/>
      <x:c r="H16" s="29"/>
      <x:c r="I16" s="31" t="str">
        <x:f>IF(OR(C16="",E16=""),"",WORKDAY.INTL(MAX(Assumptions!$B$7-1,IF(F16="",0,VLOOKUP(F16,$A$8:$J$15,10,FALSE)),IF(G16="",0,VLOOKUP(G16,$A$8:$J$15,10,FALSE)),IF(H16="",0,VLOOKUP(H16,$A$8:$J$15,10,FALSE))),1,Assumptions!$B$9,Assumptions!$B$11:$B$11))</x:f>
      </x:c>
      <x:c r="J16" s="31" t="str">
        <x:f>IF(I16="","",WORKDAY.INTL(I16,E16-1,Assumptions!$B$9,Assumptions!$B$11:$B$11))</x:f>
      </x:c>
    </x:row>
    <x:row r="17" ht="34" customHeight="1">
      <x:c r="A17" s="29" t="str">
        <x:v>A010</x:v>
      </x:c>
      <x:c r="B17" s="29"/>
      <x:c r="C17" s="42"/>
      <x:c r="D17" s="42"/>
      <x:c r="E17" s="29"/>
      <x:c r="F17" s="29"/>
      <x:c r="G17" s="29"/>
      <x:c r="H17" s="29"/>
      <x:c r="I17" s="31" t="str">
        <x:f>IF(OR(C17="",E17=""),"",WORKDAY.INTL(MAX(Assumptions!$B$7-1,IF(F17="",0,VLOOKUP(F17,$A$8:$J$16,10,FALSE)),IF(G17="",0,VLOOKUP(G17,$A$8:$J$16,10,FALSE)),IF(H17="",0,VLOOKUP(H17,$A$8:$J$16,10,FALSE))),1,Assumptions!$B$9,Assumptions!$B$11:$B$11))</x:f>
      </x:c>
      <x:c r="J17" s="31" t="str">
        <x:f>IF(I17="","",WORKDAY.INTL(I17,E17-1,Assumptions!$B$9,Assumptions!$B$11:$B$11))</x:f>
      </x:c>
    </x:row>
    <x:row r="18" ht="34" customHeight="1">
      <x:c r="A18" s="29" t="str">
        <x:v>A011</x:v>
      </x:c>
      <x:c r="B18" s="29"/>
      <x:c r="C18" s="42"/>
      <x:c r="D18" s="42"/>
      <x:c r="E18" s="29"/>
      <x:c r="F18" s="29"/>
      <x:c r="G18" s="29"/>
      <x:c r="H18" s="29"/>
      <x:c r="I18" s="31" t="str">
        <x:f>IF(OR(C18="",E18=""),"",WORKDAY.INTL(MAX(Assumptions!$B$7-1,IF(F18="",0,VLOOKUP(F18,$A$8:$J$17,10,FALSE)),IF(G18="",0,VLOOKUP(G18,$A$8:$J$17,10,FALSE)),IF(H18="",0,VLOOKUP(H18,$A$8:$J$17,10,FALSE))),1,Assumptions!$B$9,Assumptions!$B$11:$B$11))</x:f>
      </x:c>
      <x:c r="J18" s="31" t="str">
        <x:f>IF(I18="","",WORKDAY.INTL(I18,E18-1,Assumptions!$B$9,Assumptions!$B$11:$B$11))</x:f>
      </x:c>
    </x:row>
    <x:row r="19" ht="34" customHeight="1">
      <x:c r="A19" s="29" t="str">
        <x:v>A012</x:v>
      </x:c>
      <x:c r="B19" s="29"/>
      <x:c r="C19" s="42"/>
      <x:c r="D19" s="42"/>
      <x:c r="E19" s="29"/>
      <x:c r="F19" s="29"/>
      <x:c r="G19" s="29"/>
      <x:c r="H19" s="29"/>
      <x:c r="I19" s="31" t="str">
        <x:f>IF(OR(C19="",E19=""),"",WORKDAY.INTL(MAX(Assumptions!$B$7-1,IF(F19="",0,VLOOKUP(F19,$A$8:$J$18,10,FALSE)),IF(G19="",0,VLOOKUP(G19,$A$8:$J$18,10,FALSE)),IF(H19="",0,VLOOKUP(H19,$A$8:$J$18,10,FALSE))),1,Assumptions!$B$9,Assumptions!$B$11:$B$11))</x:f>
      </x:c>
      <x:c r="J19" s="31" t="str">
        <x:f>IF(I19="","",WORKDAY.INTL(I19,E19-1,Assumptions!$B$9,Assumptions!$B$11:$B$11))</x:f>
      </x:c>
    </x:row>
    <x:row r="20" ht="34" customHeight="1">
      <x:c r="A20" s="29" t="str">
        <x:v>A013</x:v>
      </x:c>
      <x:c r="B20" s="29"/>
      <x:c r="C20" s="42"/>
      <x:c r="D20" s="42"/>
      <x:c r="E20" s="29"/>
      <x:c r="F20" s="29"/>
      <x:c r="G20" s="29"/>
      <x:c r="H20" s="29"/>
      <x:c r="I20" s="31" t="str">
        <x:f>IF(OR(C20="",E20=""),"",WORKDAY.INTL(MAX(Assumptions!$B$7-1,IF(F20="",0,VLOOKUP(F20,$A$8:$J$19,10,FALSE)),IF(G20="",0,VLOOKUP(G20,$A$8:$J$19,10,FALSE)),IF(H20="",0,VLOOKUP(H20,$A$8:$J$19,10,FALSE))),1,Assumptions!$B$9,Assumptions!$B$11:$B$11))</x:f>
      </x:c>
      <x:c r="J20" s="31" t="str">
        <x:f>IF(I20="","",WORKDAY.INTL(I20,E20-1,Assumptions!$B$9,Assumptions!$B$11:$B$11))</x:f>
      </x:c>
    </x:row>
    <x:row r="21" ht="34" customHeight="1">
      <x:c r="A21" s="29" t="str">
        <x:v>A014</x:v>
      </x:c>
      <x:c r="B21" s="29"/>
      <x:c r="C21" s="42"/>
      <x:c r="D21" s="42"/>
      <x:c r="E21" s="29"/>
      <x:c r="F21" s="29"/>
      <x:c r="G21" s="29"/>
      <x:c r="H21" s="29"/>
      <x:c r="I21" s="31" t="str">
        <x:f>IF(OR(C21="",E21=""),"",WORKDAY.INTL(MAX(Assumptions!$B$7-1,IF(F21="",0,VLOOKUP(F21,$A$8:$J$20,10,FALSE)),IF(G21="",0,VLOOKUP(G21,$A$8:$J$20,10,FALSE)),IF(H21="",0,VLOOKUP(H21,$A$8:$J$20,10,FALSE))),1,Assumptions!$B$9,Assumptions!$B$11:$B$11))</x:f>
      </x:c>
      <x:c r="J21" s="31" t="str">
        <x:f>IF(I21="","",WORKDAY.INTL(I21,E21-1,Assumptions!$B$9,Assumptions!$B$11:$B$11))</x:f>
      </x:c>
    </x:row>
    <x:row r="22" ht="34" customHeight="1">
      <x:c r="A22" s="29" t="str">
        <x:v>A015</x:v>
      </x:c>
      <x:c r="B22" s="29"/>
      <x:c r="C22" s="42"/>
      <x:c r="D22" s="42"/>
      <x:c r="E22" s="29"/>
      <x:c r="F22" s="29"/>
      <x:c r="G22" s="29"/>
      <x:c r="H22" s="29"/>
      <x:c r="I22" s="31" t="str">
        <x:f>IF(OR(C22="",E22=""),"",WORKDAY.INTL(MAX(Assumptions!$B$7-1,IF(F22="",0,VLOOKUP(F22,$A$8:$J$21,10,FALSE)),IF(G22="",0,VLOOKUP(G22,$A$8:$J$21,10,FALSE)),IF(H22="",0,VLOOKUP(H22,$A$8:$J$21,10,FALSE))),1,Assumptions!$B$9,Assumptions!$B$11:$B$11))</x:f>
      </x:c>
      <x:c r="J22" s="31" t="str">
        <x:f>IF(I22="","",WORKDAY.INTL(I22,E22-1,Assumptions!$B$9,Assumptions!$B$11:$B$11))</x:f>
      </x:c>
    </x:row>
    <x:row r="23" ht="34" customHeight="1">
      <x:c r="A23" s="29" t="str">
        <x:v>A016</x:v>
      </x:c>
      <x:c r="B23" s="29"/>
      <x:c r="C23" s="42"/>
      <x:c r="D23" s="42"/>
      <x:c r="E23" s="29"/>
      <x:c r="F23" s="29"/>
      <x:c r="G23" s="29"/>
      <x:c r="H23" s="29"/>
      <x:c r="I23" s="31" t="str">
        <x:f>IF(OR(C23="",E23=""),"",WORKDAY.INTL(MAX(Assumptions!$B$7-1,IF(F23="",0,VLOOKUP(F23,$A$8:$J$22,10,FALSE)),IF(G23="",0,VLOOKUP(G23,$A$8:$J$22,10,FALSE)),IF(H23="",0,VLOOKUP(H23,$A$8:$J$22,10,FALSE))),1,Assumptions!$B$9,Assumptions!$B$11:$B$11))</x:f>
      </x:c>
      <x:c r="J23" s="31" t="str">
        <x:f>IF(I23="","",WORKDAY.INTL(I23,E23-1,Assumptions!$B$9,Assumptions!$B$11:$B$11))</x:f>
      </x:c>
    </x:row>
    <x:row r="24" ht="34" customHeight="1">
      <x:c r="A24" s="29" t="str">
        <x:v>A017</x:v>
      </x:c>
      <x:c r="B24" s="29"/>
      <x:c r="C24" s="42"/>
      <x:c r="D24" s="42"/>
      <x:c r="E24" s="29"/>
      <x:c r="F24" s="29"/>
      <x:c r="G24" s="29"/>
      <x:c r="H24" s="29"/>
      <x:c r="I24" s="31" t="str">
        <x:f>IF(OR(C24="",E24=""),"",WORKDAY.INTL(MAX(Assumptions!$B$7-1,IF(F24="",0,VLOOKUP(F24,$A$8:$J$23,10,FALSE)),IF(G24="",0,VLOOKUP(G24,$A$8:$J$23,10,FALSE)),IF(H24="",0,VLOOKUP(H24,$A$8:$J$23,10,FALSE))),1,Assumptions!$B$9,Assumptions!$B$11:$B$11))</x:f>
      </x:c>
      <x:c r="J24" s="31" t="str">
        <x:f>IF(I24="","",WORKDAY.INTL(I24,E24-1,Assumptions!$B$9,Assumptions!$B$11:$B$11))</x:f>
      </x:c>
    </x:row>
    <x:row r="25" ht="34" customHeight="1">
      <x:c r="A25" s="29" t="str">
        <x:v>A018</x:v>
      </x:c>
      <x:c r="B25" s="29"/>
      <x:c r="C25" s="42"/>
      <x:c r="D25" s="42"/>
      <x:c r="E25" s="29"/>
      <x:c r="F25" s="29"/>
      <x:c r="G25" s="29"/>
      <x:c r="H25" s="29"/>
      <x:c r="I25" s="31" t="str">
        <x:f>IF(OR(C25="",E25=""),"",WORKDAY.INTL(MAX(Assumptions!$B$7-1,IF(F25="",0,VLOOKUP(F25,$A$8:$J$24,10,FALSE)),IF(G25="",0,VLOOKUP(G25,$A$8:$J$24,10,FALSE)),IF(H25="",0,VLOOKUP(H25,$A$8:$J$24,10,FALSE))),1,Assumptions!$B$9,Assumptions!$B$11:$B$11))</x:f>
      </x:c>
      <x:c r="J25" s="31" t="str">
        <x:f>IF(I25="","",WORKDAY.INTL(I25,E25-1,Assumptions!$B$9,Assumptions!$B$11:$B$11))</x:f>
      </x:c>
    </x:row>
    <x:row r="26" ht="34" customHeight="1">
      <x:c r="A26" s="29" t="str">
        <x:v>A019</x:v>
      </x:c>
      <x:c r="B26" s="29"/>
      <x:c r="C26" s="42"/>
      <x:c r="D26" s="42"/>
      <x:c r="E26" s="29"/>
      <x:c r="F26" s="29"/>
      <x:c r="G26" s="29"/>
      <x:c r="H26" s="29"/>
      <x:c r="I26" s="31" t="str">
        <x:f>IF(OR(C26="",E26=""),"",WORKDAY.INTL(MAX(Assumptions!$B$7-1,IF(F26="",0,VLOOKUP(F26,$A$8:$J$25,10,FALSE)),IF(G26="",0,VLOOKUP(G26,$A$8:$J$25,10,FALSE)),IF(H26="",0,VLOOKUP(H26,$A$8:$J$25,10,FALSE))),1,Assumptions!$B$9,Assumptions!$B$11:$B$11))</x:f>
      </x:c>
      <x:c r="J26" s="31" t="str">
        <x:f>IF(I26="","",WORKDAY.INTL(I26,E26-1,Assumptions!$B$9,Assumptions!$B$11:$B$11))</x:f>
      </x:c>
    </x:row>
    <x:row r="27" ht="34" customHeight="1">
      <x:c r="A27" s="29" t="str">
        <x:v>A020</x:v>
      </x:c>
      <x:c r="B27" s="29"/>
      <x:c r="C27" s="42"/>
      <x:c r="D27" s="42"/>
      <x:c r="E27" s="29"/>
      <x:c r="F27" s="29"/>
      <x:c r="G27" s="29"/>
      <x:c r="H27" s="29"/>
      <x:c r="I27" s="31" t="str">
        <x:f>IF(OR(C27="",E27=""),"",WORKDAY.INTL(MAX(Assumptions!$B$7-1,IF(F27="",0,VLOOKUP(F27,$A$8:$J$26,10,FALSE)),IF(G27="",0,VLOOKUP(G27,$A$8:$J$26,10,FALSE)),IF(H27="",0,VLOOKUP(H27,$A$8:$J$26,10,FALSE))),1,Assumptions!$B$9,Assumptions!$B$11:$B$11))</x:f>
      </x:c>
      <x:c r="J27" s="31" t="str">
        <x:f>IF(I27="","",WORKDAY.INTL(I27,E27-1,Assumptions!$B$9,Assumptions!$B$11:$B$11))</x:f>
      </x:c>
    </x:row>
    <x:row r="28" ht="34" customHeight="1">
      <x:c r="A28" s="29" t="str">
        <x:v>A021</x:v>
      </x:c>
      <x:c r="B28" s="29"/>
      <x:c r="C28" s="42"/>
      <x:c r="D28" s="42"/>
      <x:c r="E28" s="29"/>
      <x:c r="F28" s="29"/>
      <x:c r="G28" s="29"/>
      <x:c r="H28" s="29"/>
      <x:c r="I28" s="31" t="str">
        <x:f>IF(OR(C28="",E28=""),"",WORKDAY.INTL(MAX(Assumptions!$B$7-1,IF(F28="",0,VLOOKUP(F28,$A$8:$J$27,10,FALSE)),IF(G28="",0,VLOOKUP(G28,$A$8:$J$27,10,FALSE)),IF(H28="",0,VLOOKUP(H28,$A$8:$J$27,10,FALSE))),1,Assumptions!$B$9,Assumptions!$B$11:$B$11))</x:f>
      </x:c>
      <x:c r="J28" s="31" t="str">
        <x:f>IF(I28="","",WORKDAY.INTL(I28,E28-1,Assumptions!$B$9,Assumptions!$B$11:$B$11))</x:f>
      </x:c>
    </x:row>
    <x:row r="29" ht="34" customHeight="1">
      <x:c r="A29" s="29" t="str">
        <x:v>A022</x:v>
      </x:c>
      <x:c r="B29" s="29"/>
      <x:c r="C29" s="42"/>
      <x:c r="D29" s="42"/>
      <x:c r="E29" s="29"/>
      <x:c r="F29" s="29"/>
      <x:c r="G29" s="29"/>
      <x:c r="H29" s="29"/>
      <x:c r="I29" s="31" t="str">
        <x:f>IF(OR(C29="",E29=""),"",WORKDAY.INTL(MAX(Assumptions!$B$7-1,IF(F29="",0,VLOOKUP(F29,$A$8:$J$28,10,FALSE)),IF(G29="",0,VLOOKUP(G29,$A$8:$J$28,10,FALSE)),IF(H29="",0,VLOOKUP(H29,$A$8:$J$28,10,FALSE))),1,Assumptions!$B$9,Assumptions!$B$11:$B$11))</x:f>
      </x:c>
      <x:c r="J29" s="31" t="str">
        <x:f>IF(I29="","",WORKDAY.INTL(I29,E29-1,Assumptions!$B$9,Assumptions!$B$11:$B$11))</x:f>
      </x:c>
    </x:row>
    <x:row r="30" ht="34" customHeight="1">
      <x:c r="A30" s="29" t="str">
        <x:v>A023</x:v>
      </x:c>
      <x:c r="B30" s="29"/>
      <x:c r="C30" s="42"/>
      <x:c r="D30" s="42"/>
      <x:c r="E30" s="29"/>
      <x:c r="F30" s="29"/>
      <x:c r="G30" s="29"/>
      <x:c r="H30" s="29"/>
      <x:c r="I30" s="31" t="str">
        <x:f>IF(OR(C30="",E30=""),"",WORKDAY.INTL(MAX(Assumptions!$B$7-1,IF(F30="",0,VLOOKUP(F30,$A$8:$J$29,10,FALSE)),IF(G30="",0,VLOOKUP(G30,$A$8:$J$29,10,FALSE)),IF(H30="",0,VLOOKUP(H30,$A$8:$J$29,10,FALSE))),1,Assumptions!$B$9,Assumptions!$B$11:$B$11))</x:f>
      </x:c>
      <x:c r="J30" s="31" t="str">
        <x:f>IF(I30="","",WORKDAY.INTL(I30,E30-1,Assumptions!$B$9,Assumptions!$B$11:$B$11))</x:f>
      </x:c>
    </x:row>
    <x:row r="31" ht="34" customHeight="1">
      <x:c r="A31" s="29" t="str">
        <x:v>A024</x:v>
      </x:c>
      <x:c r="B31" s="29"/>
      <x:c r="C31" s="42"/>
      <x:c r="D31" s="42"/>
      <x:c r="E31" s="29"/>
      <x:c r="F31" s="29"/>
      <x:c r="G31" s="29"/>
      <x:c r="H31" s="29"/>
      <x:c r="I31" s="31" t="str">
        <x:f>IF(OR(C31="",E31=""),"",WORKDAY.INTL(MAX(Assumptions!$B$7-1,IF(F31="",0,VLOOKUP(F31,$A$8:$J$30,10,FALSE)),IF(G31="",0,VLOOKUP(G31,$A$8:$J$30,10,FALSE)),IF(H31="",0,VLOOKUP(H31,$A$8:$J$30,10,FALSE))),1,Assumptions!$B$9,Assumptions!$B$11:$B$11))</x:f>
      </x:c>
      <x:c r="J31" s="31" t="str">
        <x:f>IF(I31="","",WORKDAY.INTL(I31,E31-1,Assumptions!$B$9,Assumptions!$B$11:$B$11))</x:f>
      </x:c>
    </x:row>
    <x:row r="32" ht="34" customHeight="1">
      <x:c r="A32" s="29" t="str">
        <x:v>A025</x:v>
      </x:c>
      <x:c r="B32" s="29"/>
      <x:c r="C32" s="42"/>
      <x:c r="D32" s="42"/>
      <x:c r="E32" s="29"/>
      <x:c r="F32" s="29"/>
      <x:c r="G32" s="29"/>
      <x:c r="H32" s="29"/>
      <x:c r="I32" s="31" t="str">
        <x:f>IF(OR(C32="",E32=""),"",WORKDAY.INTL(MAX(Assumptions!$B$7-1,IF(F32="",0,VLOOKUP(F32,$A$8:$J$31,10,FALSE)),IF(G32="",0,VLOOKUP(G32,$A$8:$J$31,10,FALSE)),IF(H32="",0,VLOOKUP(H32,$A$8:$J$31,10,FALSE))),1,Assumptions!$B$9,Assumptions!$B$11:$B$11))</x:f>
      </x:c>
      <x:c r="J32" s="31" t="str">
        <x:f>IF(I32="","",WORKDAY.INTL(I32,E32-1,Assumptions!$B$9,Assumptions!$B$11:$B$11))</x:f>
      </x:c>
    </x:row>
    <x:row r="33" ht="34" customHeight="1">
      <x:c r="A33" s="29" t="str">
        <x:v>A026</x:v>
      </x:c>
      <x:c r="B33" s="29"/>
      <x:c r="C33" s="42"/>
      <x:c r="D33" s="42"/>
      <x:c r="E33" s="29"/>
      <x:c r="F33" s="29"/>
      <x:c r="G33" s="29"/>
      <x:c r="H33" s="29"/>
      <x:c r="I33" s="31" t="str">
        <x:f>IF(OR(C33="",E33=""),"",WORKDAY.INTL(MAX(Assumptions!$B$7-1,IF(F33="",0,VLOOKUP(F33,$A$8:$J$32,10,FALSE)),IF(G33="",0,VLOOKUP(G33,$A$8:$J$32,10,FALSE)),IF(H33="",0,VLOOKUP(H33,$A$8:$J$32,10,FALSE))),1,Assumptions!$B$9,Assumptions!$B$11:$B$11))</x:f>
      </x:c>
      <x:c r="J33" s="31" t="str">
        <x:f>IF(I33="","",WORKDAY.INTL(I33,E33-1,Assumptions!$B$9,Assumptions!$B$11:$B$11))</x:f>
      </x:c>
    </x:row>
    <x:row r="34" ht="34" customHeight="1">
      <x:c r="A34" s="29" t="str">
        <x:v>A027</x:v>
      </x:c>
      <x:c r="B34" s="29"/>
      <x:c r="C34" s="42"/>
      <x:c r="D34" s="42"/>
      <x:c r="E34" s="29"/>
      <x:c r="F34" s="29"/>
      <x:c r="G34" s="29"/>
      <x:c r="H34" s="29"/>
      <x:c r="I34" s="31" t="str">
        <x:f>IF(OR(C34="",E34=""),"",WORKDAY.INTL(MAX(Assumptions!$B$7-1,IF(F34="",0,VLOOKUP(F34,$A$8:$J$33,10,FALSE)),IF(G34="",0,VLOOKUP(G34,$A$8:$J$33,10,FALSE)),IF(H34="",0,VLOOKUP(H34,$A$8:$J$33,10,FALSE))),1,Assumptions!$B$9,Assumptions!$B$11:$B$11))</x:f>
      </x:c>
      <x:c r="J34" s="31" t="str">
        <x:f>IF(I34="","",WORKDAY.INTL(I34,E34-1,Assumptions!$B$9,Assumptions!$B$11:$B$11))</x:f>
      </x:c>
    </x:row>
    <x:row r="35" ht="34" customHeight="1">
      <x:c r="A35" s="29" t="str">
        <x:v>A028</x:v>
      </x:c>
      <x:c r="B35" s="29"/>
      <x:c r="C35" s="42"/>
      <x:c r="D35" s="42"/>
      <x:c r="E35" s="29"/>
      <x:c r="F35" s="29"/>
      <x:c r="G35" s="29"/>
      <x:c r="H35" s="29"/>
      <x:c r="I35" s="31" t="str">
        <x:f>IF(OR(C35="",E35=""),"",WORKDAY.INTL(MAX(Assumptions!$B$7-1,IF(F35="",0,VLOOKUP(F35,$A$8:$J$34,10,FALSE)),IF(G35="",0,VLOOKUP(G35,$A$8:$J$34,10,FALSE)),IF(H35="",0,VLOOKUP(H35,$A$8:$J$34,10,FALSE))),1,Assumptions!$B$9,Assumptions!$B$11:$B$11))</x:f>
      </x:c>
      <x:c r="J35" s="31" t="str">
        <x:f>IF(I35="","",WORKDAY.INTL(I35,E35-1,Assumptions!$B$9,Assumptions!$B$11:$B$11))</x:f>
      </x:c>
    </x:row>
    <x:row r="36" ht="34" customHeight="1">
      <x:c r="A36" s="29" t="str">
        <x:v>A029</x:v>
      </x:c>
      <x:c r="B36" s="29"/>
      <x:c r="C36" s="42"/>
      <x:c r="D36" s="42"/>
      <x:c r="E36" s="29"/>
      <x:c r="F36" s="29"/>
      <x:c r="G36" s="29"/>
      <x:c r="H36" s="29"/>
      <x:c r="I36" s="31" t="str">
        <x:f>IF(OR(C36="",E36=""),"",WORKDAY.INTL(MAX(Assumptions!$B$7-1,IF(F36="",0,VLOOKUP(F36,$A$8:$J$35,10,FALSE)),IF(G36="",0,VLOOKUP(G36,$A$8:$J$35,10,FALSE)),IF(H36="",0,VLOOKUP(H36,$A$8:$J$35,10,FALSE))),1,Assumptions!$B$9,Assumptions!$B$11:$B$11))</x:f>
      </x:c>
      <x:c r="J36" s="31" t="str">
        <x:f>IF(I36="","",WORKDAY.INTL(I36,E36-1,Assumptions!$B$9,Assumptions!$B$11:$B$11))</x:f>
      </x:c>
    </x:row>
    <x:row r="37" ht="34" customHeight="1">
      <x:c r="A37" s="29" t="str">
        <x:v>A030</x:v>
      </x:c>
      <x:c r="B37" s="29"/>
      <x:c r="C37" s="42"/>
      <x:c r="D37" s="42"/>
      <x:c r="E37" s="29"/>
      <x:c r="F37" s="29"/>
      <x:c r="G37" s="29"/>
      <x:c r="H37" s="29"/>
      <x:c r="I37" s="31" t="str">
        <x:f>IF(OR(C37="",E37=""),"",WORKDAY.INTL(MAX(Assumptions!$B$7-1,IF(F37="",0,VLOOKUP(F37,$A$8:$J$36,10,FALSE)),IF(G37="",0,VLOOKUP(G37,$A$8:$J$36,10,FALSE)),IF(H37="",0,VLOOKUP(H37,$A$8:$J$36,10,FALSE))),1,Assumptions!$B$9,Assumptions!$B$11:$B$11))</x:f>
      </x:c>
      <x:c r="J37" s="31" t="str">
        <x:f>IF(I37="","",WORKDAY.INTL(I37,E37-1,Assumptions!$B$9,Assumptions!$B$11:$B$11))</x:f>
      </x:c>
    </x:row>
    <x:row r="38" ht="34" customHeight="1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</x:row>
  </x:sheetData>
  <x:pageMargins left="0.7" right="0.7" top="0.75" bottom="0.75" header="0.3" footer="0.3"/>
</x:worksheet>
</file>